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3.xml" ContentType="application/vnd.openxmlformats-officedocument.spreadsheetml.workshee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18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16.xml" ContentType="application/vnd.openxmlformats-officedocument.spreadsheetml.comments+xml"/>
  <Override PartName="/xl/comments28.xml" ContentType="application/vnd.openxmlformats-officedocument.spreadsheetml.comments+xml"/>
  <Override PartName="/xl/comments19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7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K:\C A P  R A T E  S T U D I E S\CAP RATE STUDY 2021\"/>
    </mc:Choice>
  </mc:AlternateContent>
  <xr:revisionPtr revIDLastSave="0" documentId="13_ncr:1_{07CD5D36-2C26-468C-8E03-1208625F23F5}" xr6:coauthVersionLast="47" xr6:coauthVersionMax="47" xr10:uidLastSave="{00000000-0000-0000-0000-000000000000}"/>
  <bookViews>
    <workbookView xWindow="23880" yWindow="-930" windowWidth="24240" windowHeight="13140" tabRatio="812" firstSheet="35" activeTab="41" xr2:uid="{00000000-000D-0000-FFFF-FFFF00000000}"/>
  </bookViews>
  <sheets>
    <sheet name="Table of Contents" sheetId="1" r:id="rId1"/>
    <sheet name="CapRate_AC F ALL" sheetId="31" r:id="rId2"/>
    <sheet name="S&amp;D_AC F ALL" sheetId="32" r:id="rId3"/>
    <sheet name="Debt_AC F ALL" sheetId="33" r:id="rId4"/>
    <sheet name="CF Multiples_AC F ALL" sheetId="34" r:id="rId5"/>
    <sheet name="CapRate_AC F FEDEX" sheetId="2" r:id="rId6"/>
    <sheet name="S&amp;D_AC F FEDEX" sheetId="3" r:id="rId7"/>
    <sheet name="Debt_AC F FEDEX" sheetId="4" r:id="rId8"/>
    <sheet name="CF Multiples_AC F FEDEX" sheetId="5" r:id="rId9"/>
    <sheet name="CapRate_AC F UPS" sheetId="6" r:id="rId10"/>
    <sheet name="S&amp;D_AC F UPS" sheetId="7" r:id="rId11"/>
    <sheet name="Debt_AC F UPS" sheetId="8" r:id="rId12"/>
    <sheet name="CF Multiples_AC F UPS" sheetId="9" r:id="rId13"/>
    <sheet name="CapRate_AC P ALL" sheetId="37" r:id="rId14"/>
    <sheet name="S&amp;D_AC P ALL" sheetId="38" r:id="rId15"/>
    <sheet name="Debt_AC P ALL" sheetId="39" r:id="rId16"/>
    <sheet name="CF Multiples_AC P ALL" sheetId="40" r:id="rId17"/>
    <sheet name="CapRate_AC P United" sheetId="10" r:id="rId18"/>
    <sheet name="S&amp;D_AC P United" sheetId="11" r:id="rId19"/>
    <sheet name="Debt_AC P United" sheetId="12" r:id="rId20"/>
    <sheet name="CF Multiples_AC P United" sheetId="13" r:id="rId21"/>
    <sheet name="CapRate_AC P Delta" sheetId="14" r:id="rId22"/>
    <sheet name="S&amp;D_AC P Delta" sheetId="15" r:id="rId23"/>
    <sheet name="Debt_AC P Delta" sheetId="16" r:id="rId24"/>
    <sheet name="CF Multiples_AC P Delta" sheetId="17" r:id="rId25"/>
    <sheet name="CapRate_AC P Skywest" sheetId="18" r:id="rId26"/>
    <sheet name="S&amp;D_AC P Skywest" sheetId="19" r:id="rId27"/>
    <sheet name="Debt_AC P Skywest" sheetId="20" r:id="rId28"/>
    <sheet name="CF Multiples_AC P Skywest" sheetId="21" r:id="rId29"/>
    <sheet name="CapRate_AC P American" sheetId="22" r:id="rId30"/>
    <sheet name="S&amp;D_AC P American" sheetId="23" r:id="rId31"/>
    <sheet name="Debt_AC P American" sheetId="24" r:id="rId32"/>
    <sheet name="CF Multiples_AC P American" sheetId="25" r:id="rId33"/>
    <sheet name="CapRate_AC P Southwest" sheetId="26" r:id="rId34"/>
    <sheet name="S&amp;D_AC P Southwest" sheetId="27" r:id="rId35"/>
    <sheet name="Debt_AC P Southwest" sheetId="28" r:id="rId36"/>
    <sheet name="CF Multiples_AC P Southwest" sheetId="29" r:id="rId37"/>
    <sheet name="CapRate_EU" sheetId="43" r:id="rId38"/>
    <sheet name="S&amp;D_EU" sheetId="44" r:id="rId39"/>
    <sheet name="Debt_EU" sheetId="45" r:id="rId40"/>
    <sheet name="CF Multiples_EU" sheetId="46" r:id="rId41"/>
    <sheet name="CapRate_EU Wholesale" sheetId="49" r:id="rId42"/>
    <sheet name="S&amp;D_EU Wholesale" sheetId="50" r:id="rId43"/>
    <sheet name="Debt_EU Wholesale" sheetId="51" r:id="rId44"/>
    <sheet name="CF Multiples_EU Wholesale" sheetId="52" r:id="rId45"/>
    <sheet name="CapRate_Gas Dist" sheetId="55" r:id="rId46"/>
    <sheet name="S&amp;D_Gas Dist" sheetId="56" r:id="rId47"/>
    <sheet name="Debt_Gas Dist" sheetId="57" r:id="rId48"/>
    <sheet name="CF Multiples_Gas Dist" sheetId="58" r:id="rId49"/>
    <sheet name="CapRate_GP" sheetId="61" r:id="rId50"/>
    <sheet name="S&amp;D_GP" sheetId="62" r:id="rId51"/>
    <sheet name="Debt_GP" sheetId="63" r:id="rId52"/>
    <sheet name="CF Multiples_GP" sheetId="64" r:id="rId53"/>
    <sheet name="CapRate_LQ PL" sheetId="67" r:id="rId54"/>
    <sheet name="S&amp;D_LQ PL" sheetId="68" r:id="rId55"/>
    <sheet name="Debt_LQ PL" sheetId="69" r:id="rId56"/>
    <sheet name="CF Multiples_LQ PL" sheetId="70" r:id="rId57"/>
    <sheet name="CapRate_PW" sheetId="73" r:id="rId58"/>
    <sheet name="S&amp;D_PW" sheetId="74" r:id="rId59"/>
    <sheet name="Debt_PW" sheetId="75" r:id="rId60"/>
    <sheet name="CF Multiples_PW" sheetId="76" r:id="rId61"/>
    <sheet name="CapRate_RR" sheetId="79" r:id="rId62"/>
    <sheet name="S&amp;D_RR" sheetId="80" r:id="rId63"/>
    <sheet name="Debt_RR" sheetId="81" r:id="rId64"/>
    <sheet name="CF Multiples_RR" sheetId="82" r:id="rId65"/>
  </sheets>
  <definedNames>
    <definedName name="_xlnm.Print_Area" localSheetId="1">'CapRate_AC F ALL'!$A$1:$G$25</definedName>
    <definedName name="_xlnm.Print_Area" localSheetId="5">'CapRate_AC F FEDEX'!$A$1:$G$25</definedName>
    <definedName name="_xlnm.Print_Area" localSheetId="9">'CapRate_AC F UPS'!$A$1:$G$25</definedName>
    <definedName name="_xlnm.Print_Area" localSheetId="13">'CapRate_AC P ALL'!$A$1:$G$24</definedName>
    <definedName name="_xlnm.Print_Area" localSheetId="29">'CapRate_AC P American'!$A$1:$G$24</definedName>
    <definedName name="_xlnm.Print_Area" localSheetId="21">'CapRate_AC P Delta'!$A$1:$G$24</definedName>
    <definedName name="_xlnm.Print_Area" localSheetId="25">'CapRate_AC P Skywest'!$A$1:$G$24</definedName>
    <definedName name="_xlnm.Print_Area" localSheetId="33">'CapRate_AC P Southwest'!$A$1:$G$24</definedName>
    <definedName name="_xlnm.Print_Area" localSheetId="17">'CapRate_AC P United'!$A$1:$G$24</definedName>
    <definedName name="_xlnm.Print_Area" localSheetId="48">'CF Multiples_Gas Dist'!$A$1:$G$34</definedName>
    <definedName name="_xlnm.Print_Area" localSheetId="39">Debt_EU!$A$1:$J$33</definedName>
    <definedName name="_xlnm.Print_Area" localSheetId="43">'Debt_EU Wholesale'!$A$1:$J$22</definedName>
    <definedName name="_xlnm.Print_Area" localSheetId="2">'S&amp;D_AC F ALL'!$A$1:$L$48</definedName>
    <definedName name="_xlnm.Print_Area" localSheetId="6">'S&amp;D_AC F FEDEX'!$A$1:$L$42</definedName>
    <definedName name="_xlnm.Print_Area" localSheetId="10">'S&amp;D_AC F UPS'!$A$1:$L$42</definedName>
    <definedName name="_xlnm.Print_Area" localSheetId="14">'S&amp;D_AC P ALL'!$A$1:$L$51</definedName>
    <definedName name="_xlnm.Print_Area" localSheetId="30">'S&amp;D_AC P American'!$A$1:$L$35</definedName>
    <definedName name="_xlnm.Print_Area" localSheetId="22">'S&amp;D_AC P Delta'!$A$1:$L$35</definedName>
    <definedName name="_xlnm.Print_Area" localSheetId="26">'S&amp;D_AC P Skywest'!$A$1:$L$35</definedName>
    <definedName name="_xlnm.Print_Area" localSheetId="34">'S&amp;D_AC P Southwest'!$A$1:$L$35</definedName>
    <definedName name="_xlnm.Print_Area" localSheetId="18">'S&amp;D_AC P United'!$A$1:$L$34</definedName>
    <definedName name="_xlnm.Print_Area" localSheetId="38">'S&amp;D_EU'!$A$1:$K$65</definedName>
    <definedName name="_xlnm.Print_Area" localSheetId="42">'S&amp;D_EU Wholesale'!$A$1:$K$41</definedName>
    <definedName name="_xlnm.Print_Area" localSheetId="46">'S&amp;D_Gas Dist'!$A$1:$L$60</definedName>
    <definedName name="_xlnm.Print_Area" localSheetId="50">'S&amp;D_GP'!$A$1:$L$51</definedName>
    <definedName name="_xlnm.Print_Area" localSheetId="54">'S&amp;D_LQ PL'!$A$1:$L$45</definedName>
    <definedName name="_xlnm.Print_Area" localSheetId="58">'S&amp;D_PW'!$A$1:$L$62</definedName>
    <definedName name="_xlnm.Print_Area" localSheetId="62">'S&amp;D_RR'!$A$1:$L$48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50" l="1"/>
  <c r="H17" i="50"/>
  <c r="H18" i="50"/>
  <c r="G38" i="62"/>
  <c r="E38" i="62"/>
  <c r="D38" i="62"/>
  <c r="J20" i="62"/>
  <c r="F20" i="62"/>
  <c r="C38" i="62"/>
  <c r="B38" i="62"/>
  <c r="A38" i="62"/>
  <c r="F18" i="64"/>
  <c r="G18" i="64" s="1"/>
  <c r="H38" i="62" l="1"/>
  <c r="I38" i="62" s="1"/>
  <c r="C18" i="67"/>
  <c r="J38" i="62" l="1"/>
  <c r="D25" i="82"/>
  <c r="C25" i="82"/>
  <c r="D24" i="82"/>
  <c r="C24" i="82"/>
  <c r="E21" i="82"/>
  <c r="F21" i="82" s="1"/>
  <c r="E20" i="82"/>
  <c r="F20" i="82" s="1"/>
  <c r="E19" i="82"/>
  <c r="F19" i="82" s="1"/>
  <c r="E18" i="82"/>
  <c r="F18" i="82" s="1"/>
  <c r="E17" i="82"/>
  <c r="F17" i="82" s="1"/>
  <c r="E16" i="82"/>
  <c r="F16" i="82" s="1"/>
  <c r="I20" i="81"/>
  <c r="E20" i="81"/>
  <c r="D20" i="81"/>
  <c r="I19" i="81"/>
  <c r="E19" i="81"/>
  <c r="D19" i="81"/>
  <c r="E39" i="80"/>
  <c r="D39" i="80"/>
  <c r="H39" i="80" s="1"/>
  <c r="I39" i="80" s="1"/>
  <c r="C39" i="80"/>
  <c r="B39" i="80"/>
  <c r="A39" i="80"/>
  <c r="E38" i="80"/>
  <c r="D38" i="80"/>
  <c r="C38" i="80"/>
  <c r="B38" i="80"/>
  <c r="A38" i="80"/>
  <c r="E37" i="80"/>
  <c r="D37" i="80"/>
  <c r="C37" i="80"/>
  <c r="B37" i="80"/>
  <c r="A37" i="80"/>
  <c r="G36" i="80"/>
  <c r="E36" i="80"/>
  <c r="D36" i="80"/>
  <c r="C36" i="80"/>
  <c r="B36" i="80"/>
  <c r="A36" i="80"/>
  <c r="G35" i="80"/>
  <c r="E35" i="80"/>
  <c r="D35" i="80"/>
  <c r="C35" i="80"/>
  <c r="B35" i="80"/>
  <c r="A35" i="80"/>
  <c r="E34" i="80"/>
  <c r="D34" i="80"/>
  <c r="C34" i="80"/>
  <c r="B34" i="80"/>
  <c r="A34" i="80"/>
  <c r="J23" i="80"/>
  <c r="G39" i="80" s="1"/>
  <c r="F23" i="80"/>
  <c r="J22" i="80"/>
  <c r="G38" i="80" s="1"/>
  <c r="F22" i="80"/>
  <c r="J21" i="80"/>
  <c r="G37" i="80" s="1"/>
  <c r="I21" i="80"/>
  <c r="F21" i="80"/>
  <c r="F20" i="80"/>
  <c r="J19" i="80"/>
  <c r="F19" i="80"/>
  <c r="J18" i="80"/>
  <c r="G34" i="80" s="1"/>
  <c r="F18" i="80"/>
  <c r="E20" i="79"/>
  <c r="E18" i="79"/>
  <c r="H34" i="80" l="1"/>
  <c r="I34" i="80" s="1"/>
  <c r="H35" i="80"/>
  <c r="F18" i="79"/>
  <c r="B22" i="79"/>
  <c r="F20" i="79"/>
  <c r="F25" i="82"/>
  <c r="J38" i="80"/>
  <c r="J39" i="80"/>
  <c r="F24" i="82"/>
  <c r="J35" i="80"/>
  <c r="I38" i="80"/>
  <c r="E24" i="82"/>
  <c r="J34" i="80"/>
  <c r="I35" i="80"/>
  <c r="H36" i="80"/>
  <c r="I36" i="80" s="1"/>
  <c r="H37" i="80"/>
  <c r="J37" i="80" s="1"/>
  <c r="H38" i="80"/>
  <c r="E25" i="82"/>
  <c r="D26" i="76"/>
  <c r="C26" i="76"/>
  <c r="D25" i="76"/>
  <c r="C25" i="76"/>
  <c r="E22" i="76"/>
  <c r="F22" i="76" s="1"/>
  <c r="E21" i="76"/>
  <c r="F21" i="76" s="1"/>
  <c r="F20" i="76"/>
  <c r="E20" i="76"/>
  <c r="E19" i="76"/>
  <c r="F19" i="76" s="1"/>
  <c r="E18" i="76"/>
  <c r="F18" i="76" s="1"/>
  <c r="E17" i="76"/>
  <c r="F17" i="76" s="1"/>
  <c r="E16" i="76"/>
  <c r="E25" i="76" s="1"/>
  <c r="I22" i="75"/>
  <c r="E22" i="75"/>
  <c r="D22" i="75"/>
  <c r="I21" i="75"/>
  <c r="E21" i="75"/>
  <c r="D21" i="75"/>
  <c r="E41" i="74"/>
  <c r="D41" i="74"/>
  <c r="C41" i="74"/>
  <c r="B41" i="74"/>
  <c r="A41" i="74"/>
  <c r="E40" i="74"/>
  <c r="D40" i="74"/>
  <c r="G40" i="74" s="1"/>
  <c r="I40" i="74" s="1"/>
  <c r="C40" i="74"/>
  <c r="B40" i="74"/>
  <c r="A40" i="74"/>
  <c r="E39" i="74"/>
  <c r="D39" i="74"/>
  <c r="C39" i="74"/>
  <c r="B39" i="74"/>
  <c r="A39" i="74"/>
  <c r="E38" i="74"/>
  <c r="C38" i="74"/>
  <c r="B38" i="74"/>
  <c r="A38" i="74"/>
  <c r="E37" i="74"/>
  <c r="D37" i="74"/>
  <c r="C37" i="74"/>
  <c r="B37" i="74"/>
  <c r="A37" i="74"/>
  <c r="E36" i="74"/>
  <c r="C36" i="74"/>
  <c r="B36" i="74"/>
  <c r="A36" i="74"/>
  <c r="F35" i="74"/>
  <c r="E35" i="74"/>
  <c r="D35" i="74"/>
  <c r="C35" i="74"/>
  <c r="B35" i="74"/>
  <c r="A35" i="74"/>
  <c r="J23" i="74"/>
  <c r="F41" i="74" s="1"/>
  <c r="G41" i="74" s="1"/>
  <c r="H41" i="74" s="1"/>
  <c r="F23" i="74"/>
  <c r="J22" i="74"/>
  <c r="F22" i="74"/>
  <c r="J21" i="74"/>
  <c r="F39" i="74" s="1"/>
  <c r="F21" i="74"/>
  <c r="J20" i="74"/>
  <c r="F38" i="74" s="1"/>
  <c r="H20" i="74"/>
  <c r="D38" i="74" s="1"/>
  <c r="F20" i="74"/>
  <c r="J19" i="74"/>
  <c r="F37" i="74" s="1"/>
  <c r="F19" i="74"/>
  <c r="J18" i="74"/>
  <c r="F36" i="74" s="1"/>
  <c r="H18" i="74"/>
  <c r="D36" i="74" s="1"/>
  <c r="F18" i="74"/>
  <c r="F17" i="74"/>
  <c r="E20" i="73"/>
  <c r="E18" i="73"/>
  <c r="F16" i="76" l="1"/>
  <c r="F22" i="79"/>
  <c r="F18" i="73"/>
  <c r="F20" i="73"/>
  <c r="B22" i="73"/>
  <c r="G39" i="74"/>
  <c r="H39" i="74" s="1"/>
  <c r="G38" i="74"/>
  <c r="I38" i="74" s="1"/>
  <c r="G36" i="74"/>
  <c r="I36" i="74" s="1"/>
  <c r="F26" i="76"/>
  <c r="F25" i="76"/>
  <c r="I41" i="74"/>
  <c r="I44" i="80"/>
  <c r="G35" i="74"/>
  <c r="H35" i="74" s="1"/>
  <c r="J36" i="80"/>
  <c r="J44" i="80" s="1"/>
  <c r="H40" i="74"/>
  <c r="E26" i="76"/>
  <c r="G37" i="74"/>
  <c r="H37" i="74" s="1"/>
  <c r="I37" i="80"/>
  <c r="I45" i="80" s="1"/>
  <c r="E27" i="70"/>
  <c r="D27" i="70"/>
  <c r="E26" i="70"/>
  <c r="D26" i="70"/>
  <c r="F23" i="70"/>
  <c r="G23" i="70" s="1"/>
  <c r="F22" i="70"/>
  <c r="G22" i="70" s="1"/>
  <c r="F21" i="70"/>
  <c r="G21" i="70" s="1"/>
  <c r="F20" i="70"/>
  <c r="G20" i="70" s="1"/>
  <c r="F19" i="70"/>
  <c r="G19" i="70" s="1"/>
  <c r="F18" i="70"/>
  <c r="G18" i="70" s="1"/>
  <c r="F17" i="70"/>
  <c r="G17" i="70" s="1"/>
  <c r="F16" i="70"/>
  <c r="G16" i="70" s="1"/>
  <c r="F15" i="70"/>
  <c r="G15" i="70" s="1"/>
  <c r="F14" i="70"/>
  <c r="I24" i="69"/>
  <c r="E24" i="69"/>
  <c r="D24" i="69"/>
  <c r="I23" i="69"/>
  <c r="E23" i="69"/>
  <c r="D23" i="69"/>
  <c r="D40" i="68"/>
  <c r="C40" i="68"/>
  <c r="B40" i="68"/>
  <c r="A40" i="68"/>
  <c r="E39" i="68"/>
  <c r="C39" i="68"/>
  <c r="B39" i="68"/>
  <c r="A39" i="68"/>
  <c r="D38" i="68"/>
  <c r="C38" i="68"/>
  <c r="B38" i="68"/>
  <c r="A38" i="68"/>
  <c r="F37" i="68"/>
  <c r="C37" i="68"/>
  <c r="B37" i="68"/>
  <c r="A37" i="68"/>
  <c r="F36" i="68"/>
  <c r="E36" i="68"/>
  <c r="D36" i="68"/>
  <c r="C36" i="68"/>
  <c r="B36" i="68"/>
  <c r="A36" i="68"/>
  <c r="F35" i="68"/>
  <c r="D35" i="68"/>
  <c r="C35" i="68"/>
  <c r="B35" i="68"/>
  <c r="A35" i="68"/>
  <c r="E34" i="68"/>
  <c r="D34" i="68"/>
  <c r="C34" i="68"/>
  <c r="B34" i="68"/>
  <c r="A34" i="68"/>
  <c r="E33" i="68"/>
  <c r="D33" i="68"/>
  <c r="E32" i="68"/>
  <c r="D32" i="68"/>
  <c r="C32" i="68"/>
  <c r="B32" i="68"/>
  <c r="A32" i="68"/>
  <c r="D31" i="68"/>
  <c r="C31" i="68"/>
  <c r="B31" i="68"/>
  <c r="A31" i="68"/>
  <c r="J24" i="68"/>
  <c r="F40" i="68" s="1"/>
  <c r="I24" i="68"/>
  <c r="E40" i="68" s="1"/>
  <c r="F24" i="68"/>
  <c r="J23" i="68"/>
  <c r="F39" i="68" s="1"/>
  <c r="H23" i="68"/>
  <c r="D39" i="68" s="1"/>
  <c r="F23" i="68"/>
  <c r="J22" i="68"/>
  <c r="F38" i="68" s="1"/>
  <c r="I22" i="68"/>
  <c r="E38" i="68" s="1"/>
  <c r="F22" i="68"/>
  <c r="I21" i="68"/>
  <c r="E37" i="68" s="1"/>
  <c r="H21" i="68"/>
  <c r="D37" i="68" s="1"/>
  <c r="F21" i="68"/>
  <c r="F20" i="68"/>
  <c r="I19" i="68"/>
  <c r="E35" i="68" s="1"/>
  <c r="F19" i="68"/>
  <c r="J18" i="68"/>
  <c r="F34" i="68" s="1"/>
  <c r="F18" i="68"/>
  <c r="J17" i="68"/>
  <c r="F33" i="68" s="1"/>
  <c r="F17" i="68"/>
  <c r="J16" i="68"/>
  <c r="F32" i="68" s="1"/>
  <c r="F16" i="68"/>
  <c r="J15" i="68"/>
  <c r="F31" i="68" s="1"/>
  <c r="I15" i="68"/>
  <c r="E31" i="68" s="1"/>
  <c r="F15" i="68"/>
  <c r="E20" i="67"/>
  <c r="E18" i="67"/>
  <c r="H36" i="74" l="1"/>
  <c r="I35" i="74"/>
  <c r="I39" i="74"/>
  <c r="J45" i="80"/>
  <c r="H38" i="74"/>
  <c r="F27" i="70"/>
  <c r="G36" i="68"/>
  <c r="H36" i="68" s="1"/>
  <c r="F22" i="73"/>
  <c r="F20" i="67"/>
  <c r="B22" i="67"/>
  <c r="F18" i="67"/>
  <c r="G34" i="68"/>
  <c r="H34" i="68" s="1"/>
  <c r="G31" i="68"/>
  <c r="H31" i="68" s="1"/>
  <c r="G35" i="68"/>
  <c r="H35" i="68" s="1"/>
  <c r="I35" i="68"/>
  <c r="H47" i="74"/>
  <c r="H46" i="74"/>
  <c r="G39" i="68"/>
  <c r="H39" i="68" s="1"/>
  <c r="G33" i="68"/>
  <c r="H33" i="68" s="1"/>
  <c r="G37" i="68"/>
  <c r="H37" i="68" s="1"/>
  <c r="G32" i="68"/>
  <c r="H32" i="68" s="1"/>
  <c r="G14" i="70"/>
  <c r="I36" i="68"/>
  <c r="G38" i="68"/>
  <c r="H38" i="68" s="1"/>
  <c r="I37" i="74"/>
  <c r="I46" i="74" s="1"/>
  <c r="F26" i="70"/>
  <c r="G40" i="68"/>
  <c r="I40" i="68" s="1"/>
  <c r="E28" i="64"/>
  <c r="D28" i="64"/>
  <c r="E27" i="64"/>
  <c r="D27" i="64"/>
  <c r="F24" i="64"/>
  <c r="G24" i="64" s="1"/>
  <c r="F23" i="64"/>
  <c r="G23" i="64" s="1"/>
  <c r="F22" i="64"/>
  <c r="G22" i="64" s="1"/>
  <c r="F21" i="64"/>
  <c r="G21" i="64" s="1"/>
  <c r="F20" i="64"/>
  <c r="G20" i="64" s="1"/>
  <c r="F19" i="64"/>
  <c r="G19" i="64" s="1"/>
  <c r="F17" i="64"/>
  <c r="F16" i="64"/>
  <c r="G16" i="64" s="1"/>
  <c r="F15" i="64"/>
  <c r="G15" i="64" s="1"/>
  <c r="I24" i="63"/>
  <c r="E24" i="63"/>
  <c r="D24" i="63"/>
  <c r="I23" i="63"/>
  <c r="E23" i="63"/>
  <c r="D23" i="63"/>
  <c r="E44" i="62"/>
  <c r="C44" i="62"/>
  <c r="B44" i="62"/>
  <c r="A44" i="62"/>
  <c r="D43" i="62"/>
  <c r="C43" i="62"/>
  <c r="B43" i="62"/>
  <c r="A43" i="62"/>
  <c r="E42" i="62"/>
  <c r="C42" i="62"/>
  <c r="B42" i="62"/>
  <c r="A42" i="62"/>
  <c r="G41" i="62"/>
  <c r="E41" i="62"/>
  <c r="D41" i="62"/>
  <c r="C41" i="62"/>
  <c r="B41" i="62"/>
  <c r="A41" i="62"/>
  <c r="E40" i="62"/>
  <c r="D40" i="62"/>
  <c r="C40" i="62"/>
  <c r="B40" i="62"/>
  <c r="A40" i="62"/>
  <c r="D39" i="62"/>
  <c r="C39" i="62"/>
  <c r="B39" i="62"/>
  <c r="A39" i="62"/>
  <c r="D37" i="62"/>
  <c r="C37" i="62"/>
  <c r="B37" i="62"/>
  <c r="A37" i="62"/>
  <c r="E36" i="62"/>
  <c r="D36" i="62"/>
  <c r="C36" i="62"/>
  <c r="B36" i="62"/>
  <c r="A36" i="62"/>
  <c r="E35" i="62"/>
  <c r="D35" i="62"/>
  <c r="C35" i="62"/>
  <c r="B35" i="62"/>
  <c r="A35" i="62"/>
  <c r="J26" i="62"/>
  <c r="G44" i="62" s="1"/>
  <c r="H26" i="62"/>
  <c r="D44" i="62" s="1"/>
  <c r="F26" i="62"/>
  <c r="J25" i="62"/>
  <c r="G43" i="62" s="1"/>
  <c r="I25" i="62"/>
  <c r="E43" i="62" s="1"/>
  <c r="F25" i="62"/>
  <c r="J24" i="62"/>
  <c r="G42" i="62" s="1"/>
  <c r="H24" i="62"/>
  <c r="D42" i="62" s="1"/>
  <c r="F24" i="62"/>
  <c r="F23" i="62"/>
  <c r="J22" i="62"/>
  <c r="G40" i="62" s="1"/>
  <c r="F22" i="62"/>
  <c r="J21" i="62"/>
  <c r="G39" i="62" s="1"/>
  <c r="I21" i="62"/>
  <c r="E39" i="62" s="1"/>
  <c r="F21" i="62"/>
  <c r="J19" i="62"/>
  <c r="G37" i="62" s="1"/>
  <c r="I19" i="62"/>
  <c r="E37" i="62" s="1"/>
  <c r="F19" i="62"/>
  <c r="J18" i="62"/>
  <c r="G36" i="62" s="1"/>
  <c r="F18" i="62"/>
  <c r="J17" i="62"/>
  <c r="G35" i="62" s="1"/>
  <c r="F17" i="62"/>
  <c r="E20" i="61"/>
  <c r="E18" i="61"/>
  <c r="H35" i="62" l="1"/>
  <c r="H40" i="68"/>
  <c r="F27" i="64"/>
  <c r="I47" i="74"/>
  <c r="I39" i="68"/>
  <c r="I38" i="68"/>
  <c r="I32" i="68"/>
  <c r="F22" i="67"/>
  <c r="B22" i="61"/>
  <c r="F20" i="61"/>
  <c r="F18" i="61"/>
  <c r="I35" i="62"/>
  <c r="J35" i="62"/>
  <c r="H42" i="62"/>
  <c r="J42" i="62" s="1"/>
  <c r="H43" i="62"/>
  <c r="I43" i="62" s="1"/>
  <c r="J43" i="62"/>
  <c r="H37" i="62"/>
  <c r="I37" i="62" s="1"/>
  <c r="H36" i="62"/>
  <c r="I36" i="62" s="1"/>
  <c r="H44" i="62"/>
  <c r="J44" i="62" s="1"/>
  <c r="G17" i="64"/>
  <c r="G27" i="64" s="1"/>
  <c r="H40" i="62"/>
  <c r="I40" i="62" s="1"/>
  <c r="H42" i="68"/>
  <c r="H43" i="68"/>
  <c r="H39" i="62"/>
  <c r="J39" i="62" s="1"/>
  <c r="H41" i="62"/>
  <c r="J41" i="62" s="1"/>
  <c r="F28" i="64"/>
  <c r="I31" i="68"/>
  <c r="G27" i="70"/>
  <c r="G26" i="70"/>
  <c r="I33" i="68"/>
  <c r="I34" i="68"/>
  <c r="I37" i="68"/>
  <c r="E32" i="58"/>
  <c r="D32" i="58"/>
  <c r="E31" i="58"/>
  <c r="D31" i="58"/>
  <c r="F28" i="58"/>
  <c r="G28" i="58" s="1"/>
  <c r="F27" i="58"/>
  <c r="G27" i="58" s="1"/>
  <c r="G26" i="58"/>
  <c r="F26" i="58"/>
  <c r="F25" i="58"/>
  <c r="G25" i="58" s="1"/>
  <c r="F24" i="58"/>
  <c r="G24" i="58" s="1"/>
  <c r="G23" i="58"/>
  <c r="F23" i="58"/>
  <c r="F22" i="58"/>
  <c r="G22" i="58" s="1"/>
  <c r="F21" i="58"/>
  <c r="G21" i="58" s="1"/>
  <c r="F20" i="58"/>
  <c r="G20" i="58" s="1"/>
  <c r="F19" i="58"/>
  <c r="G19" i="58" s="1"/>
  <c r="G18" i="58"/>
  <c r="F18" i="58"/>
  <c r="F17" i="58"/>
  <c r="G17" i="58" s="1"/>
  <c r="F16" i="58"/>
  <c r="I28" i="57"/>
  <c r="E28" i="57"/>
  <c r="D28" i="57"/>
  <c r="I27" i="57"/>
  <c r="E27" i="57"/>
  <c r="D27" i="57"/>
  <c r="E51" i="56"/>
  <c r="D51" i="56"/>
  <c r="C51" i="56"/>
  <c r="B51" i="56"/>
  <c r="A51" i="56"/>
  <c r="E50" i="56"/>
  <c r="D50" i="56"/>
  <c r="C50" i="56"/>
  <c r="B50" i="56"/>
  <c r="A50" i="56"/>
  <c r="E49" i="56"/>
  <c r="D49" i="56"/>
  <c r="C49" i="56"/>
  <c r="B49" i="56"/>
  <c r="A49" i="56"/>
  <c r="E48" i="56"/>
  <c r="D48" i="56"/>
  <c r="C48" i="56"/>
  <c r="B48" i="56"/>
  <c r="A48" i="56"/>
  <c r="E47" i="56"/>
  <c r="D47" i="56"/>
  <c r="C47" i="56"/>
  <c r="B47" i="56"/>
  <c r="A47" i="56"/>
  <c r="E46" i="56"/>
  <c r="D46" i="56"/>
  <c r="C46" i="56"/>
  <c r="B46" i="56"/>
  <c r="A46" i="56"/>
  <c r="E45" i="56"/>
  <c r="D45" i="56"/>
  <c r="C45" i="56"/>
  <c r="B45" i="56"/>
  <c r="A45" i="56"/>
  <c r="E44" i="56"/>
  <c r="C44" i="56"/>
  <c r="B44" i="56"/>
  <c r="A44" i="56"/>
  <c r="E43" i="56"/>
  <c r="D43" i="56"/>
  <c r="C43" i="56"/>
  <c r="B43" i="56"/>
  <c r="A43" i="56"/>
  <c r="E42" i="56"/>
  <c r="D42" i="56"/>
  <c r="C42" i="56"/>
  <c r="B42" i="56"/>
  <c r="A42" i="56"/>
  <c r="D41" i="56"/>
  <c r="C41" i="56"/>
  <c r="B41" i="56"/>
  <c r="A41" i="56"/>
  <c r="E40" i="56"/>
  <c r="C40" i="56"/>
  <c r="B40" i="56"/>
  <c r="A40" i="56"/>
  <c r="E39" i="56"/>
  <c r="D39" i="56"/>
  <c r="C39" i="56"/>
  <c r="B39" i="56"/>
  <c r="A39" i="56"/>
  <c r="J29" i="56"/>
  <c r="F51" i="56" s="1"/>
  <c r="I29" i="56"/>
  <c r="F29" i="56"/>
  <c r="J28" i="56"/>
  <c r="F50" i="56" s="1"/>
  <c r="F28" i="56"/>
  <c r="J27" i="56"/>
  <c r="F49" i="56" s="1"/>
  <c r="F27" i="56"/>
  <c r="J26" i="56"/>
  <c r="F48" i="56" s="1"/>
  <c r="F26" i="56"/>
  <c r="J25" i="56"/>
  <c r="F47" i="56" s="1"/>
  <c r="F25" i="56"/>
  <c r="J24" i="56"/>
  <c r="F46" i="56" s="1"/>
  <c r="F24" i="56"/>
  <c r="J23" i="56"/>
  <c r="F45" i="56" s="1"/>
  <c r="F23" i="56"/>
  <c r="J22" i="56"/>
  <c r="F44" i="56" s="1"/>
  <c r="H22" i="56"/>
  <c r="D44" i="56" s="1"/>
  <c r="F22" i="56"/>
  <c r="J21" i="56"/>
  <c r="F43" i="56" s="1"/>
  <c r="F21" i="56"/>
  <c r="J20" i="56"/>
  <c r="F42" i="56" s="1"/>
  <c r="F20" i="56"/>
  <c r="J19" i="56"/>
  <c r="F41" i="56" s="1"/>
  <c r="I19" i="56"/>
  <c r="E41" i="56" s="1"/>
  <c r="F19" i="56"/>
  <c r="J18" i="56"/>
  <c r="F40" i="56" s="1"/>
  <c r="H18" i="56"/>
  <c r="D40" i="56" s="1"/>
  <c r="F18" i="56"/>
  <c r="J17" i="56"/>
  <c r="F39" i="56" s="1"/>
  <c r="F17" i="56"/>
  <c r="E20" i="55"/>
  <c r="E18" i="55"/>
  <c r="F31" i="58" l="1"/>
  <c r="G47" i="56"/>
  <c r="H47" i="56" s="1"/>
  <c r="G50" i="56"/>
  <c r="F22" i="61"/>
  <c r="I41" i="62"/>
  <c r="I42" i="62"/>
  <c r="F20" i="55"/>
  <c r="B22" i="55"/>
  <c r="F18" i="55"/>
  <c r="I46" i="56"/>
  <c r="I44" i="56"/>
  <c r="G40" i="56"/>
  <c r="H40" i="56" s="1"/>
  <c r="G46" i="56"/>
  <c r="H46" i="56" s="1"/>
  <c r="I40" i="56"/>
  <c r="H43" i="56"/>
  <c r="I49" i="56"/>
  <c r="G39" i="56"/>
  <c r="H39" i="56" s="1"/>
  <c r="I39" i="56"/>
  <c r="I50" i="56"/>
  <c r="G44" i="56"/>
  <c r="H44" i="56" s="1"/>
  <c r="H51" i="56"/>
  <c r="I42" i="68"/>
  <c r="I43" i="68"/>
  <c r="G48" i="56"/>
  <c r="I48" i="56" s="1"/>
  <c r="F32" i="58"/>
  <c r="G28" i="64"/>
  <c r="G41" i="56"/>
  <c r="H41" i="56" s="1"/>
  <c r="G49" i="56"/>
  <c r="H49" i="56" s="1"/>
  <c r="G16" i="58"/>
  <c r="I44" i="62"/>
  <c r="J37" i="62"/>
  <c r="G42" i="56"/>
  <c r="H42" i="56" s="1"/>
  <c r="G43" i="56"/>
  <c r="I43" i="56" s="1"/>
  <c r="H50" i="56"/>
  <c r="G51" i="56"/>
  <c r="I51" i="56" s="1"/>
  <c r="I39" i="62"/>
  <c r="J36" i="62"/>
  <c r="J40" i="62"/>
  <c r="G45" i="56"/>
  <c r="H45" i="56" s="1"/>
  <c r="D24" i="52"/>
  <c r="C24" i="52"/>
  <c r="D23" i="52"/>
  <c r="C23" i="52"/>
  <c r="E20" i="52"/>
  <c r="F20" i="52" s="1"/>
  <c r="E19" i="52"/>
  <c r="F19" i="52" s="1"/>
  <c r="E18" i="52"/>
  <c r="F18" i="52" s="1"/>
  <c r="E17" i="52"/>
  <c r="F17" i="52" s="1"/>
  <c r="E16" i="52"/>
  <c r="F16" i="52" s="1"/>
  <c r="I20" i="51"/>
  <c r="E20" i="51"/>
  <c r="D20" i="51"/>
  <c r="I19" i="51"/>
  <c r="E19" i="51"/>
  <c r="D19" i="51"/>
  <c r="E34" i="50"/>
  <c r="C34" i="50"/>
  <c r="B34" i="50"/>
  <c r="A34" i="50"/>
  <c r="E33" i="50"/>
  <c r="D33" i="50"/>
  <c r="C33" i="50"/>
  <c r="B33" i="50"/>
  <c r="A33" i="50"/>
  <c r="E32" i="50"/>
  <c r="C32" i="50"/>
  <c r="B32" i="50"/>
  <c r="A32" i="50"/>
  <c r="E31" i="50"/>
  <c r="C31" i="50"/>
  <c r="B31" i="50"/>
  <c r="A31" i="50"/>
  <c r="E30" i="50"/>
  <c r="C30" i="50"/>
  <c r="B30" i="50"/>
  <c r="A30" i="50"/>
  <c r="J21" i="50"/>
  <c r="F34" i="50" s="1"/>
  <c r="D34" i="50"/>
  <c r="F21" i="50"/>
  <c r="J20" i="50"/>
  <c r="F33" i="50" s="1"/>
  <c r="F20" i="50"/>
  <c r="J19" i="50"/>
  <c r="F32" i="50" s="1"/>
  <c r="H19" i="50"/>
  <c r="D32" i="50" s="1"/>
  <c r="F19" i="50"/>
  <c r="J18" i="50"/>
  <c r="F31" i="50" s="1"/>
  <c r="D31" i="50"/>
  <c r="F18" i="50"/>
  <c r="J17" i="50"/>
  <c r="F30" i="50" s="1"/>
  <c r="D30" i="50"/>
  <c r="F17" i="50"/>
  <c r="E20" i="49"/>
  <c r="E18" i="49"/>
  <c r="H48" i="56" l="1"/>
  <c r="I47" i="56"/>
  <c r="J49" i="62"/>
  <c r="I48" i="62"/>
  <c r="F22" i="55"/>
  <c r="F18" i="49"/>
  <c r="B22" i="49"/>
  <c r="F20" i="49"/>
  <c r="G31" i="50"/>
  <c r="H31" i="50" s="1"/>
  <c r="F23" i="52"/>
  <c r="F24" i="52"/>
  <c r="G34" i="50"/>
  <c r="I34" i="50" s="1"/>
  <c r="G30" i="50"/>
  <c r="H30" i="50" s="1"/>
  <c r="G32" i="50"/>
  <c r="H32" i="50" s="1"/>
  <c r="I49" i="62"/>
  <c r="I45" i="56"/>
  <c r="E24" i="52"/>
  <c r="E23" i="52"/>
  <c r="I42" i="56"/>
  <c r="J48" i="62"/>
  <c r="I41" i="56"/>
  <c r="G31" i="58"/>
  <c r="G32" i="58"/>
  <c r="G33" i="50"/>
  <c r="H33" i="50" s="1"/>
  <c r="H56" i="56"/>
  <c r="H57" i="56"/>
  <c r="D35" i="46"/>
  <c r="C35" i="46"/>
  <c r="D34" i="46"/>
  <c r="C34" i="46"/>
  <c r="E31" i="46"/>
  <c r="F31" i="46" s="1"/>
  <c r="E30" i="46"/>
  <c r="F30" i="46" s="1"/>
  <c r="E29" i="46"/>
  <c r="F29" i="46" s="1"/>
  <c r="E28" i="46"/>
  <c r="F28" i="46" s="1"/>
  <c r="E27" i="46"/>
  <c r="F27" i="46" s="1"/>
  <c r="E26" i="46"/>
  <c r="F26" i="46" s="1"/>
  <c r="E25" i="46"/>
  <c r="F25" i="46" s="1"/>
  <c r="E24" i="46"/>
  <c r="F24" i="46" s="1"/>
  <c r="E23" i="46"/>
  <c r="F23" i="46" s="1"/>
  <c r="E22" i="46"/>
  <c r="F22" i="46" s="1"/>
  <c r="E21" i="46"/>
  <c r="F21" i="46" s="1"/>
  <c r="E20" i="46"/>
  <c r="F20" i="46" s="1"/>
  <c r="E19" i="46"/>
  <c r="F19" i="46" s="1"/>
  <c r="E18" i="46"/>
  <c r="F18" i="46" s="1"/>
  <c r="E17" i="46"/>
  <c r="F17" i="46" s="1"/>
  <c r="E16" i="46"/>
  <c r="I31" i="45"/>
  <c r="E31" i="45"/>
  <c r="D31" i="45"/>
  <c r="I30" i="45"/>
  <c r="E30" i="45"/>
  <c r="D30" i="45"/>
  <c r="D57" i="44"/>
  <c r="C57" i="44"/>
  <c r="B57" i="44"/>
  <c r="A57" i="44"/>
  <c r="E56" i="44"/>
  <c r="C56" i="44"/>
  <c r="A56" i="44"/>
  <c r="E55" i="44"/>
  <c r="D55" i="44"/>
  <c r="C55" i="44"/>
  <c r="A55" i="44"/>
  <c r="E54" i="44"/>
  <c r="D54" i="44"/>
  <c r="C54" i="44"/>
  <c r="B54" i="44"/>
  <c r="A54" i="44"/>
  <c r="F53" i="44"/>
  <c r="E53" i="44"/>
  <c r="D53" i="44"/>
  <c r="C53" i="44"/>
  <c r="B53" i="44"/>
  <c r="A53" i="44"/>
  <c r="E52" i="44"/>
  <c r="D52" i="44"/>
  <c r="C52" i="44"/>
  <c r="B52" i="44"/>
  <c r="A52" i="44"/>
  <c r="E51" i="44"/>
  <c r="D51" i="44"/>
  <c r="A51" i="44"/>
  <c r="E50" i="44"/>
  <c r="C50" i="44"/>
  <c r="A50" i="44"/>
  <c r="D49" i="44"/>
  <c r="C49" i="44"/>
  <c r="A49" i="44"/>
  <c r="E48" i="44"/>
  <c r="D48" i="44"/>
  <c r="C48" i="44"/>
  <c r="B48" i="44"/>
  <c r="A48" i="44"/>
  <c r="F47" i="44"/>
  <c r="E47" i="44"/>
  <c r="D47" i="44"/>
  <c r="C47" i="44"/>
  <c r="B47" i="44"/>
  <c r="A47" i="44"/>
  <c r="D46" i="44"/>
  <c r="C46" i="44"/>
  <c r="B46" i="44"/>
  <c r="A46" i="44"/>
  <c r="E45" i="44"/>
  <c r="C45" i="44"/>
  <c r="B45" i="44"/>
  <c r="A45" i="44"/>
  <c r="F44" i="44"/>
  <c r="E44" i="44"/>
  <c r="D44" i="44"/>
  <c r="C44" i="44"/>
  <c r="B44" i="44"/>
  <c r="A44" i="44"/>
  <c r="E43" i="44"/>
  <c r="D43" i="44"/>
  <c r="C43" i="44"/>
  <c r="B43" i="44"/>
  <c r="A43" i="44"/>
  <c r="E42" i="44"/>
  <c r="D42" i="44"/>
  <c r="C42" i="44"/>
  <c r="B42" i="44"/>
  <c r="A42" i="44"/>
  <c r="J32" i="44"/>
  <c r="F57" i="44" s="1"/>
  <c r="I32" i="44"/>
  <c r="F32" i="44"/>
  <c r="J31" i="44"/>
  <c r="F56" i="44" s="1"/>
  <c r="H31" i="44"/>
  <c r="D56" i="44" s="1"/>
  <c r="F31" i="44"/>
  <c r="J30" i="44"/>
  <c r="F55" i="44" s="1"/>
  <c r="F30" i="44"/>
  <c r="J29" i="44"/>
  <c r="F54" i="44" s="1"/>
  <c r="F29" i="44"/>
  <c r="F28" i="44"/>
  <c r="J27" i="44"/>
  <c r="F52" i="44" s="1"/>
  <c r="F27" i="44"/>
  <c r="J26" i="44"/>
  <c r="F51" i="44" s="1"/>
  <c r="F26" i="44"/>
  <c r="J25" i="44"/>
  <c r="H25" i="44"/>
  <c r="D50" i="44" s="1"/>
  <c r="F25" i="44"/>
  <c r="J24" i="44"/>
  <c r="F49" i="44" s="1"/>
  <c r="I24" i="44"/>
  <c r="E49" i="44" s="1"/>
  <c r="F24" i="44"/>
  <c r="J23" i="44"/>
  <c r="F48" i="44" s="1"/>
  <c r="F23" i="44"/>
  <c r="J22" i="44"/>
  <c r="F22" i="44"/>
  <c r="J21" i="44"/>
  <c r="F46" i="44" s="1"/>
  <c r="I21" i="44"/>
  <c r="E46" i="44" s="1"/>
  <c r="F21" i="44"/>
  <c r="J20" i="44"/>
  <c r="F45" i="44" s="1"/>
  <c r="H20" i="44"/>
  <c r="D45" i="44" s="1"/>
  <c r="F20" i="44"/>
  <c r="J19" i="44"/>
  <c r="F19" i="44"/>
  <c r="J18" i="44"/>
  <c r="F43" i="44" s="1"/>
  <c r="F18" i="44"/>
  <c r="J17" i="44"/>
  <c r="F42" i="44" s="1"/>
  <c r="F17" i="44"/>
  <c r="E20" i="43"/>
  <c r="E18" i="43"/>
  <c r="H34" i="50" l="1"/>
  <c r="I31" i="50"/>
  <c r="I30" i="50"/>
  <c r="G54" i="44"/>
  <c r="H54" i="44" s="1"/>
  <c r="G55" i="44"/>
  <c r="H55" i="44" s="1"/>
  <c r="E34" i="46"/>
  <c r="G57" i="44"/>
  <c r="H57" i="44" s="1"/>
  <c r="I57" i="56"/>
  <c r="F22" i="49"/>
  <c r="F20" i="43"/>
  <c r="B22" i="43"/>
  <c r="F18" i="43"/>
  <c r="I55" i="44"/>
  <c r="I50" i="44"/>
  <c r="G42" i="44"/>
  <c r="H42" i="44" s="1"/>
  <c r="G51" i="44"/>
  <c r="I51" i="44" s="1"/>
  <c r="I47" i="44"/>
  <c r="G56" i="44"/>
  <c r="H56" i="44" s="1"/>
  <c r="G50" i="44"/>
  <c r="H50" i="44" s="1"/>
  <c r="I54" i="44"/>
  <c r="G43" i="44"/>
  <c r="H43" i="44" s="1"/>
  <c r="G46" i="44"/>
  <c r="I46" i="44" s="1"/>
  <c r="G44" i="44"/>
  <c r="H44" i="44" s="1"/>
  <c r="E35" i="46"/>
  <c r="G45" i="44"/>
  <c r="I45" i="44" s="1"/>
  <c r="I32" i="50"/>
  <c r="H46" i="44"/>
  <c r="G47" i="44"/>
  <c r="H47" i="44" s="1"/>
  <c r="G52" i="44"/>
  <c r="I52" i="44" s="1"/>
  <c r="F16" i="46"/>
  <c r="G48" i="44"/>
  <c r="H48" i="44" s="1"/>
  <c r="G49" i="44"/>
  <c r="H49" i="44" s="1"/>
  <c r="G53" i="44"/>
  <c r="I53" i="44" s="1"/>
  <c r="I56" i="56"/>
  <c r="H39" i="50"/>
  <c r="H38" i="50"/>
  <c r="I33" i="50"/>
  <c r="D28" i="40"/>
  <c r="C28" i="40"/>
  <c r="D27" i="40"/>
  <c r="C27" i="40"/>
  <c r="F24" i="40"/>
  <c r="E24" i="40"/>
  <c r="E23" i="40"/>
  <c r="F23" i="40" s="1"/>
  <c r="E22" i="40"/>
  <c r="F22" i="40" s="1"/>
  <c r="E21" i="40"/>
  <c r="F21" i="40" s="1"/>
  <c r="E20" i="40"/>
  <c r="F20" i="40" s="1"/>
  <c r="E19" i="40"/>
  <c r="F19" i="40" s="1"/>
  <c r="E18" i="40"/>
  <c r="F18" i="40" s="1"/>
  <c r="E17" i="40"/>
  <c r="F17" i="40" s="1"/>
  <c r="F16" i="40"/>
  <c r="E16" i="40"/>
  <c r="I23" i="39"/>
  <c r="E23" i="39"/>
  <c r="D23" i="39"/>
  <c r="I22" i="39"/>
  <c r="E22" i="39"/>
  <c r="D22" i="39"/>
  <c r="G65" i="38"/>
  <c r="F43" i="38" s="1"/>
  <c r="G64" i="38"/>
  <c r="G63" i="38"/>
  <c r="G62" i="38"/>
  <c r="D62" i="38"/>
  <c r="G61" i="38"/>
  <c r="G60" i="38"/>
  <c r="G59" i="38"/>
  <c r="F37" i="38" s="1"/>
  <c r="E43" i="38"/>
  <c r="D43" i="38"/>
  <c r="C43" i="38"/>
  <c r="B43" i="38"/>
  <c r="A43" i="38"/>
  <c r="E65" i="38" s="1"/>
  <c r="F42" i="38"/>
  <c r="E42" i="38"/>
  <c r="C42" i="38"/>
  <c r="B42" i="38"/>
  <c r="A42" i="38"/>
  <c r="E64" i="38" s="1"/>
  <c r="F41" i="38"/>
  <c r="E41" i="38"/>
  <c r="D41" i="38"/>
  <c r="C41" i="38"/>
  <c r="B41" i="38"/>
  <c r="A41" i="38"/>
  <c r="E63" i="38" s="1"/>
  <c r="F40" i="38"/>
  <c r="E40" i="38"/>
  <c r="C40" i="38"/>
  <c r="B40" i="38"/>
  <c r="A40" i="38"/>
  <c r="E62" i="38" s="1"/>
  <c r="F39" i="38"/>
  <c r="E39" i="38"/>
  <c r="D39" i="38"/>
  <c r="C39" i="38"/>
  <c r="B39" i="38"/>
  <c r="A39" i="38"/>
  <c r="E61" i="38" s="1"/>
  <c r="F38" i="38"/>
  <c r="E38" i="38"/>
  <c r="C38" i="38"/>
  <c r="B38" i="38"/>
  <c r="A38" i="38"/>
  <c r="E60" i="38" s="1"/>
  <c r="E37" i="38"/>
  <c r="D37" i="38"/>
  <c r="C37" i="38"/>
  <c r="B37" i="38"/>
  <c r="A37" i="38"/>
  <c r="E59" i="38" s="1"/>
  <c r="G36" i="38"/>
  <c r="F36" i="38"/>
  <c r="E36" i="38"/>
  <c r="C36" i="38"/>
  <c r="B36" i="38"/>
  <c r="A36" i="38"/>
  <c r="E58" i="38" s="1"/>
  <c r="F35" i="38"/>
  <c r="E35" i="38"/>
  <c r="C35" i="38"/>
  <c r="B35" i="38"/>
  <c r="A35" i="38"/>
  <c r="E57" i="38" s="1"/>
  <c r="J25" i="38"/>
  <c r="G43" i="38" s="1"/>
  <c r="F25" i="38"/>
  <c r="J24" i="38"/>
  <c r="G42" i="38" s="1"/>
  <c r="H24" i="38"/>
  <c r="D42" i="38" s="1"/>
  <c r="F24" i="38"/>
  <c r="J23" i="38"/>
  <c r="G41" i="38" s="1"/>
  <c r="H23" i="38"/>
  <c r="F23" i="38"/>
  <c r="J22" i="38"/>
  <c r="G40" i="38" s="1"/>
  <c r="H22" i="38"/>
  <c r="D40" i="38" s="1"/>
  <c r="F22" i="38"/>
  <c r="J21" i="38"/>
  <c r="G39" i="38" s="1"/>
  <c r="H39" i="38" s="1"/>
  <c r="I39" i="38" s="1"/>
  <c r="F21" i="38"/>
  <c r="J20" i="38"/>
  <c r="G38" i="38" s="1"/>
  <c r="H20" i="38"/>
  <c r="D38" i="38" s="1"/>
  <c r="F20" i="38"/>
  <c r="J19" i="38"/>
  <c r="G37" i="38" s="1"/>
  <c r="F19" i="38"/>
  <c r="J18" i="38"/>
  <c r="H18" i="38"/>
  <c r="D36" i="38" s="1"/>
  <c r="F18" i="38"/>
  <c r="J17" i="38"/>
  <c r="G35" i="38" s="1"/>
  <c r="H17" i="38"/>
  <c r="D35" i="38" s="1"/>
  <c r="F17" i="38"/>
  <c r="E20" i="37"/>
  <c r="E18" i="37"/>
  <c r="I39" i="50" l="1"/>
  <c r="F28" i="40"/>
  <c r="H51" i="44"/>
  <c r="I57" i="44"/>
  <c r="I42" i="44"/>
  <c r="E28" i="40"/>
  <c r="I43" i="44"/>
  <c r="F22" i="43"/>
  <c r="F18" i="37"/>
  <c r="F20" i="37"/>
  <c r="B22" i="37"/>
  <c r="H43" i="38"/>
  <c r="I43" i="38" s="1"/>
  <c r="H40" i="38"/>
  <c r="I40" i="38" s="1"/>
  <c r="H38" i="38"/>
  <c r="I38" i="38" s="1"/>
  <c r="J40" i="38"/>
  <c r="I35" i="38"/>
  <c r="H35" i="38"/>
  <c r="J35" i="38" s="1"/>
  <c r="H36" i="38"/>
  <c r="I36" i="38" s="1"/>
  <c r="H42" i="38"/>
  <c r="J42" i="38" s="1"/>
  <c r="I42" i="38"/>
  <c r="F34" i="46"/>
  <c r="F35" i="46"/>
  <c r="I38" i="50"/>
  <c r="I56" i="44"/>
  <c r="I44" i="44"/>
  <c r="J39" i="38"/>
  <c r="E27" i="40"/>
  <c r="H53" i="44"/>
  <c r="I49" i="44"/>
  <c r="I48" i="44"/>
  <c r="F27" i="40"/>
  <c r="H52" i="44"/>
  <c r="H37" i="38"/>
  <c r="J37" i="38" s="1"/>
  <c r="H41" i="38"/>
  <c r="J41" i="38" s="1"/>
  <c r="H45" i="44"/>
  <c r="H63" i="44" s="1"/>
  <c r="D35" i="34"/>
  <c r="C35" i="34"/>
  <c r="D34" i="34"/>
  <c r="C34" i="34"/>
  <c r="E31" i="34"/>
  <c r="F31" i="34" s="1"/>
  <c r="E30" i="34"/>
  <c r="F30" i="34" s="1"/>
  <c r="E29" i="34"/>
  <c r="D23" i="34"/>
  <c r="C23" i="34"/>
  <c r="D22" i="34"/>
  <c r="C22" i="34"/>
  <c r="E19" i="34"/>
  <c r="E18" i="34"/>
  <c r="F18" i="34" s="1"/>
  <c r="E17" i="34"/>
  <c r="F17" i="34" s="1"/>
  <c r="E16" i="34"/>
  <c r="I18" i="33"/>
  <c r="E18" i="33"/>
  <c r="D18" i="33"/>
  <c r="I17" i="33"/>
  <c r="E17" i="33"/>
  <c r="D17" i="33"/>
  <c r="E54" i="32"/>
  <c r="E53" i="32"/>
  <c r="F36" i="32"/>
  <c r="E36" i="32"/>
  <c r="C36" i="32"/>
  <c r="B36" i="32"/>
  <c r="A36" i="32"/>
  <c r="C56" i="32" s="1"/>
  <c r="F35" i="32"/>
  <c r="E35" i="32"/>
  <c r="D35" i="32"/>
  <c r="C35" i="32"/>
  <c r="B35" i="32"/>
  <c r="A35" i="32"/>
  <c r="C55" i="32" s="1"/>
  <c r="F34" i="32"/>
  <c r="E34" i="32"/>
  <c r="D34" i="32"/>
  <c r="C34" i="32"/>
  <c r="B34" i="32"/>
  <c r="A34" i="32"/>
  <c r="C54" i="32" s="1"/>
  <c r="F33" i="32"/>
  <c r="E33" i="32"/>
  <c r="D33" i="32"/>
  <c r="C33" i="32"/>
  <c r="B33" i="32"/>
  <c r="A33" i="32"/>
  <c r="J20" i="32"/>
  <c r="G36" i="32" s="1"/>
  <c r="H20" i="32"/>
  <c r="D36" i="32" s="1"/>
  <c r="F20" i="32"/>
  <c r="J19" i="32"/>
  <c r="G35" i="32" s="1"/>
  <c r="F19" i="32"/>
  <c r="J18" i="32"/>
  <c r="G34" i="32" s="1"/>
  <c r="F18" i="32"/>
  <c r="J17" i="32"/>
  <c r="G33" i="32" s="1"/>
  <c r="F17" i="32"/>
  <c r="E20" i="31"/>
  <c r="E18" i="31"/>
  <c r="I63" i="44" l="1"/>
  <c r="J38" i="38"/>
  <c r="H33" i="32"/>
  <c r="I33" i="32" s="1"/>
  <c r="I37" i="38"/>
  <c r="I47" i="38" s="1"/>
  <c r="E22" i="34"/>
  <c r="E35" i="34"/>
  <c r="J36" i="38"/>
  <c r="E23" i="34"/>
  <c r="B22" i="31"/>
  <c r="F22" i="37"/>
  <c r="F20" i="31"/>
  <c r="F18" i="31"/>
  <c r="H36" i="32"/>
  <c r="I36" i="32" s="1"/>
  <c r="J36" i="32"/>
  <c r="I34" i="32"/>
  <c r="J33" i="32"/>
  <c r="F19" i="34"/>
  <c r="E34" i="34"/>
  <c r="F16" i="34"/>
  <c r="F29" i="34"/>
  <c r="H62" i="44"/>
  <c r="I41" i="38"/>
  <c r="H34" i="32"/>
  <c r="J34" i="32" s="1"/>
  <c r="J43" i="38"/>
  <c r="J47" i="38" s="1"/>
  <c r="H35" i="32"/>
  <c r="J35" i="32" s="1"/>
  <c r="I62" i="44"/>
  <c r="D20" i="29"/>
  <c r="C20" i="29"/>
  <c r="D19" i="29"/>
  <c r="C19" i="29"/>
  <c r="F16" i="29"/>
  <c r="F20" i="29" s="1"/>
  <c r="E16" i="29"/>
  <c r="E20" i="29" s="1"/>
  <c r="I15" i="28"/>
  <c r="E15" i="28"/>
  <c r="D15" i="28"/>
  <c r="I14" i="28"/>
  <c r="E14" i="28"/>
  <c r="D14" i="28"/>
  <c r="G41" i="27"/>
  <c r="F27" i="27" s="1"/>
  <c r="E27" i="27"/>
  <c r="C27" i="27"/>
  <c r="B27" i="27"/>
  <c r="A27" i="27"/>
  <c r="E41" i="27" s="1"/>
  <c r="J17" i="27"/>
  <c r="G27" i="27" s="1"/>
  <c r="H17" i="27"/>
  <c r="D27" i="27" s="1"/>
  <c r="F17" i="27"/>
  <c r="E20" i="26"/>
  <c r="E18" i="26"/>
  <c r="E20" i="25"/>
  <c r="D20" i="25"/>
  <c r="C20" i="25"/>
  <c r="D19" i="25"/>
  <c r="C19" i="25"/>
  <c r="E16" i="25"/>
  <c r="F16" i="25" s="1"/>
  <c r="I15" i="24"/>
  <c r="E15" i="24"/>
  <c r="D15" i="24"/>
  <c r="I14" i="24"/>
  <c r="E14" i="24"/>
  <c r="D14" i="24"/>
  <c r="G41" i="23"/>
  <c r="F27" i="23" s="1"/>
  <c r="E27" i="23"/>
  <c r="D27" i="23"/>
  <c r="C27" i="23"/>
  <c r="B27" i="23"/>
  <c r="A27" i="23"/>
  <c r="E41" i="23" s="1"/>
  <c r="J17" i="23"/>
  <c r="G27" i="23" s="1"/>
  <c r="F17" i="23"/>
  <c r="E20" i="22"/>
  <c r="E18" i="22"/>
  <c r="D20" i="21"/>
  <c r="C20" i="21"/>
  <c r="E19" i="21"/>
  <c r="D19" i="21"/>
  <c r="C19" i="21"/>
  <c r="E16" i="21"/>
  <c r="F16" i="21" s="1"/>
  <c r="I15" i="20"/>
  <c r="E15" i="20"/>
  <c r="D15" i="20"/>
  <c r="I14" i="20"/>
  <c r="E14" i="20"/>
  <c r="D14" i="20"/>
  <c r="G41" i="19"/>
  <c r="F27" i="19" s="1"/>
  <c r="D41" i="19"/>
  <c r="E27" i="19"/>
  <c r="C27" i="19"/>
  <c r="B27" i="19"/>
  <c r="A27" i="19"/>
  <c r="E41" i="19" s="1"/>
  <c r="J17" i="19"/>
  <c r="G27" i="19" s="1"/>
  <c r="H17" i="19"/>
  <c r="D27" i="19" s="1"/>
  <c r="F17" i="19"/>
  <c r="E20" i="18"/>
  <c r="E18" i="18"/>
  <c r="D20" i="17"/>
  <c r="C20" i="17"/>
  <c r="D19" i="17"/>
  <c r="C19" i="17"/>
  <c r="E16" i="17"/>
  <c r="F16" i="17" s="1"/>
  <c r="I15" i="16"/>
  <c r="E15" i="16"/>
  <c r="D15" i="16"/>
  <c r="I14" i="16"/>
  <c r="E14" i="16"/>
  <c r="D14" i="16"/>
  <c r="G41" i="15"/>
  <c r="F27" i="15"/>
  <c r="E27" i="15"/>
  <c r="C27" i="15"/>
  <c r="B27" i="15"/>
  <c r="A27" i="15"/>
  <c r="E41" i="15" s="1"/>
  <c r="J17" i="15"/>
  <c r="G27" i="15" s="1"/>
  <c r="H17" i="15"/>
  <c r="D27" i="15" s="1"/>
  <c r="F17" i="15"/>
  <c r="E20" i="14"/>
  <c r="E18" i="14"/>
  <c r="D20" i="13"/>
  <c r="C20" i="13"/>
  <c r="D19" i="13"/>
  <c r="C19" i="13"/>
  <c r="E16" i="13"/>
  <c r="E19" i="13" s="1"/>
  <c r="I15" i="12"/>
  <c r="E15" i="12"/>
  <c r="D15" i="12"/>
  <c r="I14" i="12"/>
  <c r="E14" i="12"/>
  <c r="D14" i="12"/>
  <c r="G40" i="11"/>
  <c r="E40" i="11"/>
  <c r="F26" i="11"/>
  <c r="E26" i="11"/>
  <c r="D26" i="11"/>
  <c r="C26" i="11"/>
  <c r="B26" i="11"/>
  <c r="A26" i="11"/>
  <c r="J17" i="11"/>
  <c r="G26" i="11" s="1"/>
  <c r="F17" i="11"/>
  <c r="E20" i="10"/>
  <c r="E18" i="10"/>
  <c r="I50" i="32" l="1"/>
  <c r="I58" i="32"/>
  <c r="J50" i="32"/>
  <c r="J58" i="32"/>
  <c r="I46" i="38"/>
  <c r="E19" i="29"/>
  <c r="J49" i="32"/>
  <c r="J57" i="32"/>
  <c r="F22" i="31"/>
  <c r="F20" i="18"/>
  <c r="B22" i="26"/>
  <c r="B22" i="14"/>
  <c r="B22" i="18"/>
  <c r="F20" i="26"/>
  <c r="F20" i="10"/>
  <c r="F18" i="10"/>
  <c r="B22" i="22"/>
  <c r="F18" i="22"/>
  <c r="F18" i="14"/>
  <c r="F18" i="26"/>
  <c r="F20" i="14"/>
  <c r="B22" i="10"/>
  <c r="F18" i="18"/>
  <c r="F20" i="22"/>
  <c r="F20" i="25"/>
  <c r="F19" i="25"/>
  <c r="H27" i="23"/>
  <c r="I27" i="23" s="1"/>
  <c r="F20" i="17"/>
  <c r="F19" i="17"/>
  <c r="H27" i="15"/>
  <c r="J27" i="15" s="1"/>
  <c r="J52" i="32"/>
  <c r="J51" i="32"/>
  <c r="F20" i="21"/>
  <c r="F19" i="21"/>
  <c r="F22" i="34"/>
  <c r="F23" i="34"/>
  <c r="H26" i="11"/>
  <c r="J26" i="11" s="1"/>
  <c r="F16" i="13"/>
  <c r="E19" i="17"/>
  <c r="F19" i="29"/>
  <c r="J46" i="38"/>
  <c r="I35" i="32"/>
  <c r="E20" i="13"/>
  <c r="H27" i="19"/>
  <c r="I27" i="19" s="1"/>
  <c r="E20" i="21"/>
  <c r="E19" i="25"/>
  <c r="J43" i="32"/>
  <c r="J42" i="32"/>
  <c r="E20" i="17"/>
  <c r="H27" i="27"/>
  <c r="J27" i="27" s="1"/>
  <c r="F35" i="34"/>
  <c r="F34" i="34"/>
  <c r="D20" i="9"/>
  <c r="C20" i="9"/>
  <c r="D19" i="9"/>
  <c r="C19" i="9"/>
  <c r="E16" i="9"/>
  <c r="E20" i="9" s="1"/>
  <c r="I15" i="8"/>
  <c r="E15" i="8"/>
  <c r="D15" i="8"/>
  <c r="I14" i="8"/>
  <c r="E14" i="8"/>
  <c r="D14" i="8"/>
  <c r="F30" i="7"/>
  <c r="E30" i="7"/>
  <c r="C30" i="7"/>
  <c r="B30" i="7"/>
  <c r="A30" i="7"/>
  <c r="C47" i="7" s="1"/>
  <c r="J17" i="7"/>
  <c r="G30" i="7" s="1"/>
  <c r="H17" i="7"/>
  <c r="D30" i="7" s="1"/>
  <c r="F17" i="7"/>
  <c r="E20" i="6"/>
  <c r="E18" i="6"/>
  <c r="D20" i="5"/>
  <c r="C20" i="5"/>
  <c r="D19" i="5"/>
  <c r="C19" i="5"/>
  <c r="E16" i="5"/>
  <c r="E19" i="5" s="1"/>
  <c r="I15" i="4"/>
  <c r="E15" i="4"/>
  <c r="D15" i="4"/>
  <c r="I14" i="4"/>
  <c r="E14" i="4"/>
  <c r="D14" i="4"/>
  <c r="F30" i="3"/>
  <c r="E30" i="3"/>
  <c r="D30" i="3"/>
  <c r="C30" i="3"/>
  <c r="B30" i="3"/>
  <c r="A30" i="3"/>
  <c r="C47" i="3" s="1"/>
  <c r="J17" i="3"/>
  <c r="G30" i="3" s="1"/>
  <c r="F17" i="3"/>
  <c r="E20" i="2"/>
  <c r="E18" i="2"/>
  <c r="I49" i="32" l="1"/>
  <c r="I57" i="32"/>
  <c r="J27" i="23"/>
  <c r="J60" i="32"/>
  <c r="J59" i="32"/>
  <c r="H30" i="3"/>
  <c r="I42" i="32"/>
  <c r="I27" i="27"/>
  <c r="E19" i="9"/>
  <c r="F16" i="9"/>
  <c r="F22" i="18"/>
  <c r="B22" i="6"/>
  <c r="F22" i="10"/>
  <c r="F18" i="2"/>
  <c r="F18" i="6"/>
  <c r="F20" i="2"/>
  <c r="B22" i="2"/>
  <c r="F22" i="26"/>
  <c r="F22" i="22"/>
  <c r="F22" i="14"/>
  <c r="I30" i="19"/>
  <c r="I31" i="19"/>
  <c r="H30" i="7"/>
  <c r="I30" i="7" s="1"/>
  <c r="J31" i="15"/>
  <c r="J30" i="15"/>
  <c r="J29" i="11"/>
  <c r="J30" i="11"/>
  <c r="J31" i="27"/>
  <c r="J30" i="27"/>
  <c r="J30" i="3"/>
  <c r="F20" i="6"/>
  <c r="F22" i="6" s="1"/>
  <c r="I43" i="32"/>
  <c r="E20" i="5"/>
  <c r="I27" i="15"/>
  <c r="J31" i="23"/>
  <c r="J30" i="23"/>
  <c r="I52" i="32"/>
  <c r="I51" i="32"/>
  <c r="I31" i="23"/>
  <c r="I30" i="23"/>
  <c r="F16" i="5"/>
  <c r="I26" i="11"/>
  <c r="I30" i="27"/>
  <c r="I31" i="27"/>
  <c r="I30" i="3"/>
  <c r="J27" i="19"/>
  <c r="F19" i="13"/>
  <c r="F20" i="13"/>
  <c r="I59" i="32" l="1"/>
  <c r="I60" i="32"/>
  <c r="F20" i="9"/>
  <c r="F19" i="9"/>
  <c r="F22" i="2"/>
  <c r="J37" i="3"/>
  <c r="J36" i="3"/>
  <c r="I30" i="11"/>
  <c r="I29" i="11"/>
  <c r="J30" i="7"/>
  <c r="I31" i="15"/>
  <c r="I30" i="15"/>
  <c r="J30" i="19"/>
  <c r="J31" i="19"/>
  <c r="I36" i="3"/>
  <c r="I37" i="3"/>
  <c r="F19" i="5"/>
  <c r="F20" i="5"/>
  <c r="I37" i="7"/>
  <c r="I36" i="7"/>
  <c r="J37" i="7" l="1"/>
  <c r="J36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  <author>rev4440</author>
    <author>REVT221</author>
  </authors>
  <commentList>
    <comment ref="H17" authorId="0" shapeId="0" xr:uid="{00000000-0006-0000-0200-000001000000}">
      <text>
        <r>
          <rPr>
            <sz val="9"/>
            <color indexed="81"/>
            <rFont val="Tahoma"/>
            <family val="2"/>
          </rPr>
          <t>Page 68 of PDF, 10-K</t>
        </r>
      </text>
    </comment>
    <comment ref="J17" authorId="0" shapeId="0" xr:uid="{00000000-0006-0000-0200-000002000000}">
      <text>
        <r>
          <rPr>
            <sz val="9"/>
            <color indexed="81"/>
            <rFont val="Tahoma"/>
            <family val="2"/>
          </rPr>
          <t>Page 35 of PDF, 10-K</t>
        </r>
      </text>
    </comment>
    <comment ref="H18" authorId="1" shapeId="0" xr:uid="{00000000-0006-0000-0200-000003000000}">
      <text>
        <r>
          <rPr>
            <sz val="9"/>
            <color indexed="81"/>
            <rFont val="Tahoma"/>
            <family val="2"/>
          </rPr>
          <t>Page 55 of PDF, 10-K</t>
        </r>
      </text>
    </comment>
    <comment ref="J18" authorId="1" shapeId="0" xr:uid="{00000000-0006-0000-0200-000004000000}">
      <text>
        <r>
          <rPr>
            <sz val="9"/>
            <color indexed="81"/>
            <rFont val="Tahoma"/>
            <family val="2"/>
          </rPr>
          <t>Page 55 of PDF, 10-K</t>
        </r>
      </text>
    </comment>
    <comment ref="H19" authorId="0" shapeId="0" xr:uid="{00000000-0006-0000-0200-000005000000}">
      <text>
        <r>
          <rPr>
            <sz val="9"/>
            <color indexed="81"/>
            <rFont val="Tahoma"/>
            <family val="2"/>
          </rPr>
          <t>Page 4 of PDF, 10-Q</t>
        </r>
      </text>
    </comment>
    <comment ref="J19" authorId="2" shapeId="0" xr:uid="{00000000-0006-0000-0200-000006000000}">
      <text>
        <r>
          <rPr>
            <sz val="9"/>
            <color indexed="81"/>
            <rFont val="Tahoma"/>
            <family val="2"/>
          </rPr>
          <t>Page 4 of PDF, 10-Q</t>
        </r>
      </text>
    </comment>
    <comment ref="H20" authorId="1" shapeId="0" xr:uid="{00000000-0006-0000-0200-000007000000}">
      <text>
        <r>
          <rPr>
            <sz val="9"/>
            <color indexed="81"/>
            <rFont val="Tahoma"/>
            <family val="2"/>
          </rPr>
          <t>Page 92 of PDF, 10-K</t>
        </r>
      </text>
    </comment>
    <comment ref="J20" authorId="1" shapeId="0" xr:uid="{00000000-0006-0000-0200-000008000000}">
      <text>
        <r>
          <rPr>
            <sz val="9"/>
            <color indexed="81"/>
            <rFont val="Tahoma"/>
            <family val="2"/>
          </rPr>
          <t>Page 92 of PDF, 10-K</t>
        </r>
      </text>
    </comment>
    <comment ref="G33" authorId="2" shapeId="0" xr:uid="{00000000-0006-0000-0200-000009000000}">
      <text>
        <r>
          <rPr>
            <sz val="9"/>
            <color indexed="81"/>
            <rFont val="Tahoma"/>
            <family val="2"/>
          </rPr>
          <t>Page 84 of PDF, 10-K</t>
        </r>
      </text>
    </comment>
    <comment ref="G34" authorId="2" shapeId="0" xr:uid="{00000000-0006-0000-0200-00000A000000}">
      <text>
        <r>
          <rPr>
            <sz val="9"/>
            <color indexed="81"/>
            <rFont val="Tahoma"/>
            <family val="2"/>
          </rPr>
          <t>Page 85 of PDF, 10-K</t>
        </r>
      </text>
    </comment>
    <comment ref="D35" authorId="2" shapeId="0" xr:uid="{00000000-0006-0000-0200-00000B000000}">
      <text>
        <r>
          <rPr>
            <sz val="9"/>
            <color indexed="81"/>
            <rFont val="Tahoma"/>
            <family val="2"/>
          </rPr>
          <t>Subtract Treasury book value, page 4 of PDF, 10-Q</t>
        </r>
      </text>
    </comment>
    <comment ref="G35" authorId="2" shapeId="0" xr:uid="{00000000-0006-0000-0200-00000C000000}">
      <text>
        <r>
          <rPr>
            <b/>
            <sz val="9"/>
            <color indexed="81"/>
            <rFont val="Tahoma"/>
            <family val="2"/>
          </rPr>
          <t>REVT221:</t>
        </r>
        <r>
          <rPr>
            <sz val="9"/>
            <color indexed="81"/>
            <rFont val="Tahoma"/>
            <family val="2"/>
          </rPr>
          <t xml:space="preserve">
See 10Q  page 14
</t>
        </r>
      </text>
    </comment>
    <comment ref="G36" authorId="2" shapeId="0" xr:uid="{00000000-0006-0000-0200-00000D000000}">
      <text>
        <r>
          <rPr>
            <sz val="9"/>
            <color indexed="81"/>
            <rFont val="Tahoma"/>
            <family val="2"/>
          </rPr>
          <t>Fair Value: Page 151 of PDF, 10-K
Carrying Value: Page 143 of PDF, 10-K</t>
        </r>
      </text>
    </comment>
    <comment ref="B53" authorId="0" shapeId="0" xr:uid="{00000000-0006-0000-0200-00000E000000}">
      <text>
        <r>
          <rPr>
            <sz val="9"/>
            <color indexed="81"/>
            <rFont val="Tahoma"/>
            <family val="2"/>
          </rPr>
          <t>Page 39 of PDF, 10-K</t>
        </r>
      </text>
    </comment>
    <comment ref="D53" authorId="0" shapeId="0" xr:uid="{00000000-0006-0000-0200-00000F000000}">
      <text>
        <r>
          <rPr>
            <sz val="9"/>
            <color indexed="81"/>
            <rFont val="Tahoma"/>
            <family val="2"/>
          </rPr>
          <t>Page 61 of PDF, 10-K</t>
        </r>
      </text>
    </comment>
    <comment ref="E53" authorId="0" shapeId="0" xr:uid="{00000000-0006-0000-0200-000010000000}">
      <text>
        <r>
          <rPr>
            <sz val="9"/>
            <color indexed="81"/>
            <rFont val="Tahoma"/>
            <family val="2"/>
          </rPr>
          <t>Page 61 of PDF, 10-K</t>
        </r>
      </text>
    </comment>
    <comment ref="B54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Page 40 of PDF, 10-K (based on where last year's figures were obtained)</t>
        </r>
      </text>
    </comment>
    <comment ref="D54" authorId="0" shapeId="0" xr:uid="{00000000-0006-0000-0200-000012000000}">
      <text>
        <r>
          <rPr>
            <sz val="9"/>
            <color indexed="81"/>
            <rFont val="Tahoma"/>
            <family val="2"/>
          </rPr>
          <t>Page 55 of PDF, 10-K</t>
        </r>
      </text>
    </comment>
    <comment ref="E54" authorId="0" shapeId="0" xr:uid="{00000000-0006-0000-0200-000013000000}">
      <text>
        <r>
          <rPr>
            <sz val="9"/>
            <color indexed="81"/>
            <rFont val="Tahoma"/>
            <family val="2"/>
          </rPr>
          <t>Page 55 of PDF, 10-K</t>
        </r>
      </text>
    </comment>
    <comment ref="B55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Not totally sure where this figure came from, can't seem to find it in last year's 10-Q</t>
        </r>
      </text>
    </comment>
    <comment ref="D55" authorId="0" shapeId="0" xr:uid="{00000000-0006-0000-0200-000015000000}">
      <text>
        <r>
          <rPr>
            <sz val="9"/>
            <color indexed="81"/>
            <rFont val="Tahoma"/>
            <family val="2"/>
          </rPr>
          <t>Page 3 of PDF, 10-Q</t>
        </r>
      </text>
    </comment>
    <comment ref="E55" authorId="0" shapeId="0" xr:uid="{00000000-0006-0000-0200-000016000000}">
      <text>
        <r>
          <rPr>
            <sz val="9"/>
            <color indexed="81"/>
            <rFont val="Tahoma"/>
            <family val="2"/>
          </rPr>
          <t>Page 19 of PDF, 10-Q</t>
        </r>
      </text>
    </comment>
    <comment ref="D56" authorId="0" shapeId="0" xr:uid="{00000000-0006-0000-0200-000017000000}">
      <text>
        <r>
          <rPr>
            <sz val="9"/>
            <color indexed="81"/>
            <rFont val="Tahoma"/>
            <family val="2"/>
          </rPr>
          <t>Page 157 of PDF, 10-K</t>
        </r>
      </text>
    </comment>
    <comment ref="E56" authorId="0" shapeId="0" xr:uid="{00000000-0006-0000-0200-000018000000}">
      <text>
        <r>
          <rPr>
            <sz val="9"/>
            <color indexed="81"/>
            <rFont val="Tahoma"/>
            <family val="2"/>
          </rPr>
          <t>Page 157 of PDF, 10-K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rev4440</author>
    <author>rev3857</author>
    <author>K Reaves</author>
  </authors>
  <commentList>
    <comment ref="H17" authorId="0" shapeId="0" xr:uid="{00000000-0006-0000-1600-000001000000}">
      <text>
        <r>
          <rPr>
            <sz val="9"/>
            <color indexed="81"/>
            <rFont val="Tahoma"/>
            <family val="2"/>
          </rPr>
          <t>Page 96 of PDF, 10-K</t>
        </r>
      </text>
    </comment>
    <comment ref="J17" authorId="0" shapeId="0" xr:uid="{00000000-0006-0000-1600-000002000000}">
      <text>
        <r>
          <rPr>
            <sz val="9"/>
            <color indexed="81"/>
            <rFont val="Tahoma"/>
            <family val="2"/>
          </rPr>
          <t>Page 96 of PDF, 10-K</t>
        </r>
      </text>
    </comment>
    <comment ref="G27" authorId="1" shapeId="0" xr:uid="{00000000-0006-0000-1600-000003000000}">
      <text>
        <r>
          <rPr>
            <b/>
            <sz val="9"/>
            <color indexed="81"/>
            <rFont val="Tahoma"/>
            <family val="2"/>
          </rPr>
          <t>Page 75 10-K</t>
        </r>
      </text>
    </comment>
    <comment ref="F41" authorId="2" shapeId="0" xr:uid="{00000000-0006-0000-1600-000004000000}">
      <text>
        <r>
          <rPr>
            <sz val="9"/>
            <color indexed="81"/>
            <rFont val="Tahoma"/>
            <family val="2"/>
          </rPr>
          <t>Page 96 of PDF, 10-K</t>
        </r>
      </text>
    </comment>
    <comment ref="G41" authorId="2" shapeId="0" xr:uid="{00000000-0006-0000-1600-000005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Page 96 of PDF, 10-K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  <author>Baker, Mike A (DOR)</author>
  </authors>
  <commentList>
    <comment ref="E11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NMF for 2020
</t>
        </r>
      </text>
    </comment>
    <comment ref="G11" authorId="1" shapeId="0" xr:uid="{00000000-0006-0000-1700-000002000000}">
      <text>
        <r>
          <rPr>
            <b/>
            <sz val="9"/>
            <color indexed="81"/>
            <rFont val="Tahoma"/>
            <family val="2"/>
          </rPr>
          <t>Baker, Mike A (DOR):</t>
        </r>
        <r>
          <rPr>
            <sz val="9"/>
            <color indexed="81"/>
            <rFont val="Tahoma"/>
            <family val="2"/>
          </rPr>
          <t xml:space="preserve">
See 10K pg 72           See Washington State &amp; Oregon</t>
        </r>
      </text>
    </comment>
    <comment ref="H11" authorId="0" shapeId="0" xr:uid="{00000000-0006-0000-1700-000003000000}">
      <text>
        <r>
          <rPr>
            <sz val="9"/>
            <color indexed="81"/>
            <rFont val="Tahoma"/>
            <family val="2"/>
          </rPr>
          <t>Page 72 of the 10K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rev4440</author>
    <author>rev3857</author>
    <author>K Reaves</author>
  </authors>
  <commentList>
    <comment ref="H17" authorId="0" shapeId="0" xr:uid="{00000000-0006-0000-1A00-000001000000}">
      <text>
        <r>
          <rPr>
            <sz val="9"/>
            <color indexed="81"/>
            <rFont val="Tahoma"/>
            <family val="2"/>
          </rPr>
          <t>Page 95 of PDF, 10-K</t>
        </r>
      </text>
    </comment>
    <comment ref="J17" authorId="0" shapeId="0" xr:uid="{00000000-0006-0000-1A00-000002000000}">
      <text>
        <r>
          <rPr>
            <sz val="9"/>
            <color indexed="81"/>
            <rFont val="Tahoma"/>
            <family val="2"/>
          </rPr>
          <t>Page 95 of PDF, 10-K</t>
        </r>
      </text>
    </comment>
    <comment ref="G27" authorId="1" shapeId="0" xr:uid="{00000000-0006-0000-1A00-000003000000}">
      <text>
        <r>
          <rPr>
            <b/>
            <sz val="9"/>
            <color indexed="81"/>
            <rFont val="Tahoma"/>
            <family val="2"/>
          </rPr>
          <t>Page 52 10-K</t>
        </r>
      </text>
    </comment>
    <comment ref="D41" authorId="2" shapeId="0" xr:uid="{00000000-0006-0000-1A00-000004000000}">
      <text>
        <r>
          <rPr>
            <sz val="9"/>
            <color indexed="81"/>
            <rFont val="Tahoma"/>
            <family val="2"/>
          </rPr>
          <t>Page 133 of PDF, 10-K</t>
        </r>
      </text>
    </comment>
    <comment ref="F41" authorId="2" shapeId="0" xr:uid="{00000000-0006-0000-1A00-000005000000}">
      <text>
        <r>
          <rPr>
            <sz val="9"/>
            <color indexed="81"/>
            <rFont val="Tahoma"/>
            <family val="2"/>
          </rPr>
          <t>Page 94 of PDF, 10-K</t>
        </r>
      </text>
    </comment>
    <comment ref="G41" authorId="2" shapeId="0" xr:uid="{00000000-0006-0000-1A00-000006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Page 95 of PDF, 10-K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</authors>
  <commentList>
    <comment ref="E11" authorId="0" shapeId="0" xr:uid="{00000000-0006-0000-1B00-000001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Nov 20 VL</t>
        </r>
      </text>
    </comment>
    <comment ref="H11" authorId="0" shapeId="0" xr:uid="{00000000-0006-0000-1B00-000002000000}">
      <text>
        <r>
          <rPr>
            <sz val="9"/>
            <color indexed="81"/>
            <rFont val="Tahoma"/>
            <family val="2"/>
          </rPr>
          <t>Pulled from Colorado Study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rev4440</author>
    <author>rev3857</author>
    <author>K Reaves</author>
  </authors>
  <commentList>
    <comment ref="H17" authorId="0" shapeId="0" xr:uid="{00000000-0006-0000-1E00-000001000000}">
      <text>
        <r>
          <rPr>
            <sz val="9"/>
            <color indexed="81"/>
            <rFont val="Tahoma"/>
            <family val="2"/>
          </rPr>
          <t>Page 156 of PDF, 10-K</t>
        </r>
      </text>
    </comment>
    <comment ref="J17" authorId="0" shapeId="0" xr:uid="{00000000-0006-0000-1E00-000002000000}">
      <text>
        <r>
          <rPr>
            <sz val="9"/>
            <color indexed="81"/>
            <rFont val="Tahoma"/>
            <family val="2"/>
          </rPr>
          <t>Page 156 of PDF, 10-K</t>
        </r>
      </text>
    </comment>
    <comment ref="G27" authorId="1" shapeId="0" xr:uid="{00000000-0006-0000-1E00-000003000000}">
      <text>
        <r>
          <rPr>
            <b/>
            <sz val="9"/>
            <color indexed="81"/>
            <rFont val="Tahoma"/>
            <family val="2"/>
          </rPr>
          <t>Page 98 10-K</t>
        </r>
      </text>
    </comment>
    <comment ref="F41" authorId="2" shapeId="0" xr:uid="{00000000-0006-0000-1E00-000004000000}">
      <text>
        <r>
          <rPr>
            <sz val="9"/>
            <color indexed="81"/>
            <rFont val="Tahoma"/>
            <family val="2"/>
          </rPr>
          <t>Page 156 of PDF, 10-K</t>
        </r>
      </text>
    </comment>
    <comment ref="G41" authorId="2" shapeId="0" xr:uid="{00000000-0006-0000-1E00-000005000000}">
      <text>
        <r>
          <rPr>
            <sz val="9"/>
            <color indexed="81"/>
            <rFont val="Tahoma"/>
            <family val="2"/>
          </rPr>
          <t>Page 156 of PDF, 10-K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  <author>Baker, Mike A (DOR)</author>
  </authors>
  <commentList>
    <comment ref="E11" authorId="0" shapeId="0" xr:uid="{00000000-0006-0000-1F00-000001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Nov 20 VL: NMF for 2020
</t>
        </r>
      </text>
    </comment>
    <comment ref="G11" authorId="1" shapeId="0" xr:uid="{00000000-0006-0000-1F00-000002000000}">
      <text>
        <r>
          <rPr>
            <b/>
            <sz val="9"/>
            <color indexed="81"/>
            <rFont val="Tahoma"/>
            <family val="2"/>
          </rPr>
          <t>Baker, Mike A (DOR):</t>
        </r>
        <r>
          <rPr>
            <sz val="9"/>
            <color indexed="81"/>
            <rFont val="Tahoma"/>
            <family val="2"/>
          </rPr>
          <t xml:space="preserve">
See Washington State</t>
        </r>
      </text>
    </comment>
    <comment ref="H11" authorId="1" shapeId="0" xr:uid="{00000000-0006-0000-1F00-000003000000}">
      <text>
        <r>
          <rPr>
            <sz val="9"/>
            <color indexed="81"/>
            <rFont val="Tahoma"/>
            <family val="2"/>
          </rPr>
          <t>See Montana, Utah, &amp; Oregon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rev4440</author>
    <author>rev3857</author>
    <author>K Reaves</author>
  </authors>
  <commentList>
    <comment ref="H17" authorId="0" shapeId="0" xr:uid="{00000000-0006-0000-2200-000001000000}">
      <text>
        <r>
          <rPr>
            <sz val="9"/>
            <color indexed="81"/>
            <rFont val="Tahoma"/>
            <family val="2"/>
          </rPr>
          <t>Page 129 of PDF, 10-K</t>
        </r>
      </text>
    </comment>
    <comment ref="J17" authorId="0" shapeId="0" xr:uid="{00000000-0006-0000-2200-000002000000}">
      <text>
        <r>
          <rPr>
            <sz val="9"/>
            <color indexed="81"/>
            <rFont val="Tahoma"/>
            <family val="2"/>
          </rPr>
          <t>Page 129 of PDF, 10-K</t>
        </r>
      </text>
    </comment>
    <comment ref="G27" authorId="1" shapeId="0" xr:uid="{00000000-0006-0000-2200-000003000000}">
      <text>
        <r>
          <rPr>
            <b/>
            <sz val="9"/>
            <color indexed="81"/>
            <rFont val="Tahoma"/>
            <family val="2"/>
          </rPr>
          <t>rev3857:</t>
        </r>
        <r>
          <rPr>
            <sz val="9"/>
            <color indexed="81"/>
            <rFont val="Tahoma"/>
            <family val="2"/>
          </rPr>
          <t xml:space="preserve">
Page 102 10K
</t>
        </r>
      </text>
    </comment>
    <comment ref="F41" authorId="2" shapeId="0" xr:uid="{00000000-0006-0000-2200-000004000000}">
      <text>
        <r>
          <rPr>
            <sz val="9"/>
            <color indexed="81"/>
            <rFont val="Tahoma"/>
            <family val="2"/>
          </rPr>
          <t>Page 129 of PDF, 10-K</t>
        </r>
      </text>
    </comment>
    <comment ref="G41" authorId="2" shapeId="0" xr:uid="{00000000-0006-0000-2200-000005000000}">
      <text>
        <r>
          <rPr>
            <sz val="9"/>
            <color indexed="81"/>
            <rFont val="Tahoma"/>
            <family val="2"/>
          </rPr>
          <t>Page 129 of PDF, 10-K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  <author>Baker, Mike A (DOR)</author>
  </authors>
  <commentList>
    <comment ref="E11" authorId="0" shapeId="0" xr:uid="{00000000-0006-0000-2300-000001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-- for 2020 and NMF 2021
</t>
        </r>
      </text>
    </comment>
    <comment ref="G11" authorId="1" shapeId="0" xr:uid="{00000000-0006-0000-2300-000002000000}">
      <text>
        <r>
          <rPr>
            <b/>
            <sz val="9"/>
            <color indexed="81"/>
            <rFont val="Tahoma"/>
            <family val="2"/>
          </rPr>
          <t>Baker, Mike A (DOR):</t>
        </r>
        <r>
          <rPr>
            <sz val="9"/>
            <color indexed="81"/>
            <rFont val="Tahoma"/>
            <family val="2"/>
          </rPr>
          <t xml:space="preserve">
See Washington State &amp; Oregon</t>
        </r>
      </text>
    </comment>
    <comment ref="H11" authorId="0" shapeId="0" xr:uid="{00000000-0006-0000-2300-000003000000}">
      <text>
        <r>
          <rPr>
            <sz val="9"/>
            <color indexed="81"/>
            <rFont val="Tahoma"/>
            <family val="2"/>
          </rPr>
          <t xml:space="preserve">Page 81 of the 10K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rev4440</author>
    <author>K Reaves</author>
    <author>rev3857</author>
    <author>REVT221</author>
  </authors>
  <commentList>
    <comment ref="H17" authorId="0" shapeId="0" xr:uid="{00000000-0006-0000-2600-000001000000}">
      <text>
        <r>
          <rPr>
            <sz val="9"/>
            <color indexed="81"/>
            <rFont val="Tahoma"/>
            <family val="2"/>
          </rPr>
          <t>Page 100 of PDF, 10-K</t>
        </r>
      </text>
    </comment>
    <comment ref="J17" authorId="0" shapeId="0" xr:uid="{00000000-0006-0000-2600-000002000000}">
      <text>
        <r>
          <rPr>
            <sz val="9"/>
            <color indexed="81"/>
            <rFont val="Tahoma"/>
            <family val="2"/>
          </rPr>
          <t>Page 100 of PDF, 10-K</t>
        </r>
      </text>
    </comment>
    <comment ref="H18" authorId="0" shapeId="0" xr:uid="{00000000-0006-0000-2600-000003000000}">
      <text>
        <r>
          <rPr>
            <sz val="9"/>
            <color indexed="81"/>
            <rFont val="Tahoma"/>
            <family val="2"/>
          </rPr>
          <t>Page 76 of PDF, 10-K</t>
        </r>
      </text>
    </comment>
    <comment ref="I18" authorId="0" shapeId="0" xr:uid="{00000000-0006-0000-2600-000004000000}">
      <text>
        <r>
          <rPr>
            <sz val="9"/>
            <color indexed="81"/>
            <rFont val="Tahoma"/>
            <family val="2"/>
          </rPr>
          <t>Page 76 of PDF, 10-K</t>
        </r>
      </text>
    </comment>
    <comment ref="J18" authorId="0" shapeId="0" xr:uid="{00000000-0006-0000-2600-000005000000}">
      <text>
        <r>
          <rPr>
            <sz val="9"/>
            <color indexed="81"/>
            <rFont val="Tahoma"/>
            <family val="2"/>
          </rPr>
          <t>Page 76 of PDF, 10-K</t>
        </r>
      </text>
    </comment>
    <comment ref="H19" authorId="0" shapeId="0" xr:uid="{00000000-0006-0000-2600-000006000000}">
      <text>
        <r>
          <rPr>
            <sz val="9"/>
            <color indexed="81"/>
            <rFont val="Tahoma"/>
            <family val="2"/>
          </rPr>
          <t>Page 135 of PDF, 10-K</t>
        </r>
      </text>
    </comment>
    <comment ref="J19" authorId="0" shapeId="0" xr:uid="{00000000-0006-0000-2600-000007000000}">
      <text>
        <r>
          <rPr>
            <sz val="9"/>
            <color indexed="81"/>
            <rFont val="Tahoma"/>
            <family val="2"/>
          </rPr>
          <t>Page 135 of PDF, 10-K</t>
        </r>
      </text>
    </comment>
    <comment ref="H20" authorId="0" shapeId="0" xr:uid="{00000000-0006-0000-2600-000008000000}">
      <text>
        <r>
          <rPr>
            <sz val="9"/>
            <color indexed="81"/>
            <rFont val="Tahoma"/>
            <family val="2"/>
          </rPr>
          <t>Page 218 of PDF, 10-K</t>
        </r>
      </text>
    </comment>
    <comment ref="J20" authorId="0" shapeId="0" xr:uid="{00000000-0006-0000-2600-000009000000}">
      <text>
        <r>
          <rPr>
            <sz val="9"/>
            <color indexed="81"/>
            <rFont val="Tahoma"/>
            <family val="2"/>
          </rPr>
          <t>Page 218 of PDF, 10-K</t>
        </r>
      </text>
    </comment>
    <comment ref="H21" authorId="0" shapeId="0" xr:uid="{00000000-0006-0000-2600-00000A000000}">
      <text>
        <r>
          <rPr>
            <sz val="9"/>
            <color indexed="81"/>
            <rFont val="Tahoma"/>
            <family val="2"/>
          </rPr>
          <t>Page 163 of PDF, 10-K</t>
        </r>
      </text>
    </comment>
    <comment ref="I21" authorId="0" shapeId="0" xr:uid="{00000000-0006-0000-2600-00000B000000}">
      <text>
        <r>
          <rPr>
            <sz val="9"/>
            <color indexed="81"/>
            <rFont val="Tahoma"/>
            <family val="2"/>
          </rPr>
          <t>Page 163 of PDF, 10-K</t>
        </r>
      </text>
    </comment>
    <comment ref="J21" authorId="0" shapeId="0" xr:uid="{00000000-0006-0000-2600-00000C000000}">
      <text>
        <r>
          <rPr>
            <sz val="9"/>
            <color indexed="81"/>
            <rFont val="Tahoma"/>
            <family val="2"/>
          </rPr>
          <t>Page 163 of PDF, 10-K</t>
        </r>
      </text>
    </comment>
    <comment ref="H22" authorId="0" shapeId="0" xr:uid="{00000000-0006-0000-2600-00000D000000}">
      <text>
        <r>
          <rPr>
            <sz val="9"/>
            <color indexed="81"/>
            <rFont val="Tahoma"/>
            <family val="2"/>
          </rPr>
          <t>Page 177 of PDF, 10-K</t>
        </r>
      </text>
    </comment>
    <comment ref="J22" authorId="0" shapeId="0" xr:uid="{00000000-0006-0000-2600-00000F000000}">
      <text>
        <r>
          <rPr>
            <sz val="9"/>
            <color indexed="81"/>
            <rFont val="Tahoma"/>
            <family val="2"/>
          </rPr>
          <t>Page 177 of PDF, 10-K</t>
        </r>
      </text>
    </comment>
    <comment ref="H23" authorId="0" shapeId="0" xr:uid="{00000000-0006-0000-2600-000010000000}">
      <text>
        <r>
          <rPr>
            <sz val="9"/>
            <color indexed="81"/>
            <rFont val="Tahoma"/>
            <family val="2"/>
          </rPr>
          <t>Page 88 of PDF, 10-K</t>
        </r>
      </text>
    </comment>
    <comment ref="J23" authorId="0" shapeId="0" xr:uid="{00000000-0006-0000-2600-000012000000}">
      <text>
        <r>
          <rPr>
            <sz val="9"/>
            <color indexed="81"/>
            <rFont val="Tahoma"/>
            <family val="2"/>
          </rPr>
          <t>Page 88 of PDF, 10-K</t>
        </r>
      </text>
    </comment>
    <comment ref="H24" authorId="0" shapeId="0" xr:uid="{00000000-0006-0000-2600-000013000000}">
      <text>
        <r>
          <rPr>
            <sz val="9"/>
            <color indexed="81"/>
            <rFont val="Tahoma"/>
            <family val="2"/>
          </rPr>
          <t>Page 107 of PDF, 10-K</t>
        </r>
      </text>
    </comment>
    <comment ref="I24" authorId="1" shapeId="0" xr:uid="{00000000-0006-0000-2600-000014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Page 107 of PDF, 10-K</t>
        </r>
      </text>
    </comment>
    <comment ref="J24" authorId="0" shapeId="0" xr:uid="{00000000-0006-0000-2600-000015000000}">
      <text>
        <r>
          <rPr>
            <sz val="9"/>
            <color indexed="81"/>
            <rFont val="Tahoma"/>
            <family val="2"/>
          </rPr>
          <t>Page 107 of PDF, 10-K</t>
        </r>
      </text>
    </comment>
    <comment ref="H25" authorId="0" shapeId="0" xr:uid="{00000000-0006-0000-2600-000016000000}">
      <text>
        <r>
          <rPr>
            <sz val="9"/>
            <color indexed="81"/>
            <rFont val="Tahoma"/>
            <family val="2"/>
          </rPr>
          <t>Page 100 of PDF, 10-K</t>
        </r>
      </text>
    </comment>
    <comment ref="I25" authorId="1" shapeId="0" xr:uid="{00000000-0006-0000-2600-000017000000}">
      <text>
        <r>
          <rPr>
            <sz val="9"/>
            <color indexed="81"/>
            <rFont val="Tahoma"/>
            <family val="2"/>
          </rPr>
          <t>Page 100 of PDF, 10-K</t>
        </r>
      </text>
    </comment>
    <comment ref="J25" authorId="0" shapeId="0" xr:uid="{00000000-0006-0000-2600-000018000000}">
      <text>
        <r>
          <rPr>
            <sz val="9"/>
            <color indexed="81"/>
            <rFont val="Tahoma"/>
            <family val="2"/>
          </rPr>
          <t>Page 100 of PDF, 10-K</t>
        </r>
      </text>
    </comment>
    <comment ref="H26" authorId="0" shapeId="0" xr:uid="{00000000-0006-0000-2600-000019000000}">
      <text>
        <r>
          <rPr>
            <sz val="9"/>
            <color indexed="81"/>
            <rFont val="Tahoma"/>
            <family val="2"/>
          </rPr>
          <t>Page 133 of PDF, 10-K</t>
        </r>
      </text>
    </comment>
    <comment ref="J26" authorId="0" shapeId="0" xr:uid="{00000000-0006-0000-2600-00001A000000}">
      <text>
        <r>
          <rPr>
            <sz val="9"/>
            <color indexed="81"/>
            <rFont val="Tahoma"/>
            <family val="2"/>
          </rPr>
          <t>Page 133 of PDF, 10-K</t>
        </r>
      </text>
    </comment>
    <comment ref="H27" authorId="0" shapeId="0" xr:uid="{00000000-0006-0000-2600-00001B000000}">
      <text>
        <r>
          <rPr>
            <sz val="9"/>
            <color indexed="81"/>
            <rFont val="Tahoma"/>
            <family val="2"/>
          </rPr>
          <t>Page 64 of PDF, 10-K</t>
        </r>
      </text>
    </comment>
    <comment ref="J27" authorId="0" shapeId="0" xr:uid="{00000000-0006-0000-2600-00001C000000}">
      <text>
        <r>
          <rPr>
            <sz val="9"/>
            <color indexed="81"/>
            <rFont val="Tahoma"/>
            <family val="2"/>
          </rPr>
          <t xml:space="preserve">2020 Study used figured on page 98 of PDF, 10-K
</t>
        </r>
      </text>
    </comment>
    <comment ref="H28" authorId="0" shapeId="0" xr:uid="{00000000-0006-0000-2600-00001D000000}">
      <text>
        <r>
          <rPr>
            <sz val="9"/>
            <color indexed="81"/>
            <rFont val="Tahoma"/>
            <family val="2"/>
          </rPr>
          <t>Page 147 of PDF, 10-K</t>
        </r>
      </text>
    </comment>
    <comment ref="J28" authorId="0" shapeId="0" xr:uid="{00000000-0006-0000-2600-00001E000000}">
      <text>
        <r>
          <rPr>
            <sz val="9"/>
            <color indexed="81"/>
            <rFont val="Tahoma"/>
            <family val="2"/>
          </rPr>
          <t>Page 147 of PDF, 10-K</t>
        </r>
      </text>
    </comment>
    <comment ref="H29" authorId="0" shapeId="0" xr:uid="{00000000-0006-0000-2600-00001F000000}">
      <text>
        <r>
          <rPr>
            <sz val="9"/>
            <color indexed="81"/>
            <rFont val="Tahoma"/>
            <family val="2"/>
          </rPr>
          <t>Page 58 of PDF, 10-K</t>
        </r>
      </text>
    </comment>
    <comment ref="J29" authorId="0" shapeId="0" xr:uid="{00000000-0006-0000-2600-000020000000}">
      <text>
        <r>
          <rPr>
            <sz val="9"/>
            <color indexed="81"/>
            <rFont val="Tahoma"/>
            <family val="2"/>
          </rPr>
          <t>Page 58 of PDF, 10-K</t>
        </r>
      </text>
    </comment>
    <comment ref="H30" authorId="0" shapeId="0" xr:uid="{00000000-0006-0000-2600-000021000000}">
      <text>
        <r>
          <rPr>
            <sz val="9"/>
            <color indexed="81"/>
            <rFont val="Tahoma"/>
            <family val="2"/>
          </rPr>
          <t>Page 185 of PDF, 10-K</t>
        </r>
      </text>
    </comment>
    <comment ref="J30" authorId="0" shapeId="0" xr:uid="{00000000-0006-0000-2600-000022000000}">
      <text>
        <r>
          <rPr>
            <sz val="9"/>
            <color indexed="81"/>
            <rFont val="Tahoma"/>
            <family val="2"/>
          </rPr>
          <t>Page 185 of PDF, 10-K</t>
        </r>
      </text>
    </comment>
    <comment ref="H31" authorId="0" shapeId="0" xr:uid="{00000000-0006-0000-2600-000023000000}">
      <text>
        <r>
          <rPr>
            <sz val="9"/>
            <color indexed="81"/>
            <rFont val="Tahoma"/>
            <family val="2"/>
          </rPr>
          <t>Page 209 of PDF, 10-K</t>
        </r>
      </text>
    </comment>
    <comment ref="I31" authorId="0" shapeId="0" xr:uid="{00000000-0006-0000-2600-000024000000}">
      <text>
        <r>
          <rPr>
            <sz val="9"/>
            <color indexed="81"/>
            <rFont val="Tahoma"/>
            <family val="2"/>
          </rPr>
          <t>Page 209 of PDF, 10-K</t>
        </r>
      </text>
    </comment>
    <comment ref="J31" authorId="0" shapeId="0" xr:uid="{00000000-0006-0000-2600-000025000000}">
      <text>
        <r>
          <rPr>
            <sz val="9"/>
            <color indexed="81"/>
            <rFont val="Tahoma"/>
            <family val="2"/>
          </rPr>
          <t>Page 209 of PDF, 10-K</t>
        </r>
      </text>
    </comment>
    <comment ref="H32" authorId="0" shapeId="0" xr:uid="{00000000-0006-0000-2600-000026000000}">
      <text>
        <r>
          <rPr>
            <sz val="9"/>
            <color indexed="81"/>
            <rFont val="Tahoma"/>
            <family val="2"/>
          </rPr>
          <t>Page 162 of PDF, 10-K</t>
        </r>
      </text>
    </comment>
    <comment ref="I32" authorId="0" shapeId="0" xr:uid="{00000000-0006-0000-2600-000027000000}">
      <text>
        <r>
          <rPr>
            <sz val="9"/>
            <color indexed="81"/>
            <rFont val="Tahoma"/>
            <family val="2"/>
          </rPr>
          <t>Page 162 of PDF, 10-K</t>
        </r>
      </text>
    </comment>
    <comment ref="J32" authorId="0" shapeId="0" xr:uid="{00000000-0006-0000-2600-000028000000}">
      <text>
        <r>
          <rPr>
            <sz val="9"/>
            <color indexed="81"/>
            <rFont val="Tahoma"/>
            <family val="2"/>
          </rPr>
          <t>Page 162 of PDF, 10-K</t>
        </r>
      </text>
    </comment>
    <comment ref="F42" authorId="2" shapeId="0" xr:uid="{00000000-0006-0000-2600-000029000000}">
      <text>
        <r>
          <rPr>
            <sz val="9"/>
            <color indexed="81"/>
            <rFont val="Tahoma"/>
            <family val="2"/>
          </rPr>
          <t>Page 136 of PDF, 10-K</t>
        </r>
      </text>
    </comment>
    <comment ref="F43" authorId="3" shapeId="0" xr:uid="{00000000-0006-0000-2600-00002A000000}">
      <text>
        <r>
          <rPr>
            <sz val="9"/>
            <color indexed="81"/>
            <rFont val="Tahoma"/>
            <family val="2"/>
          </rPr>
          <t>Page 144 of PDF, 10-K</t>
        </r>
      </text>
    </comment>
    <comment ref="F44" authorId="3" shapeId="0" xr:uid="{00000000-0006-0000-2600-00002B000000}">
      <text>
        <r>
          <rPr>
            <sz val="9"/>
            <color indexed="81"/>
            <rFont val="Tahoma"/>
            <family val="2"/>
          </rPr>
          <t>Page 199 of PDF, 10-K</t>
        </r>
      </text>
    </comment>
    <comment ref="F45" authorId="3" shapeId="0" xr:uid="{00000000-0006-0000-2600-00002C000000}">
      <text>
        <r>
          <rPr>
            <sz val="9"/>
            <color indexed="81"/>
            <rFont val="Tahoma"/>
            <family val="2"/>
          </rPr>
          <t>Page 354 of Full Report 10-K</t>
        </r>
      </text>
    </comment>
    <comment ref="F46" authorId="2" shapeId="0" xr:uid="{00000000-0006-0000-2600-00002D000000}">
      <text>
        <r>
          <rPr>
            <b/>
            <sz val="9"/>
            <color indexed="81"/>
            <rFont val="Tahoma"/>
            <family val="2"/>
          </rPr>
          <t>See 10K  page 168</t>
        </r>
      </text>
    </comment>
    <comment ref="F47" authorId="2" shapeId="0" xr:uid="{00000000-0006-0000-2600-00002E000000}">
      <text>
        <r>
          <rPr>
            <sz val="9"/>
            <color indexed="81"/>
            <rFont val="Tahoma"/>
            <family val="2"/>
          </rPr>
          <t xml:space="preserve">Page 242 of PDF, 10-K
</t>
        </r>
      </text>
    </comment>
    <comment ref="F48" authorId="2" shapeId="0" xr:uid="{00000000-0006-0000-2600-00002F000000}">
      <text>
        <r>
          <rPr>
            <sz val="9"/>
            <color indexed="81"/>
            <rFont val="Tahoma"/>
            <family val="2"/>
          </rPr>
          <t>Page 149 of PDF, 10-K</t>
        </r>
      </text>
    </comment>
    <comment ref="F49" authorId="2" shapeId="0" xr:uid="{00000000-0006-0000-2600-000030000000}">
      <text>
        <r>
          <rPr>
            <sz val="9"/>
            <color indexed="81"/>
            <rFont val="Tahoma"/>
            <family val="2"/>
          </rPr>
          <t>Page 258 of PDF, 10-K</t>
        </r>
      </text>
    </comment>
    <comment ref="F50" authorId="2" shapeId="0" xr:uid="{00000000-0006-0000-2600-000031000000}">
      <text>
        <r>
          <rPr>
            <sz val="9"/>
            <color indexed="81"/>
            <rFont val="Tahoma"/>
            <family val="2"/>
          </rPr>
          <t>Page 228 of PDF, 10-K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51" authorId="2" shapeId="0" xr:uid="{00000000-0006-0000-2600-000032000000}">
      <text>
        <r>
          <rPr>
            <sz val="9"/>
            <color indexed="81"/>
            <rFont val="Tahoma"/>
            <family val="2"/>
          </rPr>
          <t>Page 184 of PDF, 10-K</t>
        </r>
      </text>
    </comment>
    <comment ref="F52" authorId="2" shapeId="0" xr:uid="{00000000-0006-0000-2600-000033000000}">
      <text>
        <r>
          <rPr>
            <sz val="9"/>
            <color indexed="81"/>
            <rFont val="Tahoma"/>
            <family val="2"/>
          </rPr>
          <t>Page 108 of PDF, 10-K
Unsure of J27 value</t>
        </r>
      </text>
    </comment>
    <comment ref="F53" authorId="2" shapeId="0" xr:uid="{00000000-0006-0000-2600-000034000000}">
      <text>
        <r>
          <rPr>
            <sz val="9"/>
            <color indexed="81"/>
            <rFont val="Tahoma"/>
            <family val="2"/>
          </rPr>
          <t>Page 190 of PDF, 10-K</t>
        </r>
      </text>
    </comment>
    <comment ref="F54" authorId="2" shapeId="0" xr:uid="{00000000-0006-0000-2600-000035000000}">
      <text>
        <r>
          <rPr>
            <sz val="9"/>
            <color indexed="81"/>
            <rFont val="Tahoma"/>
            <family val="2"/>
          </rPr>
          <t>Page 106 of PDF, 10-K</t>
        </r>
      </text>
    </comment>
    <comment ref="F55" authorId="2" shapeId="0" xr:uid="{00000000-0006-0000-2600-000036000000}">
      <text>
        <r>
          <rPr>
            <sz val="9"/>
            <color indexed="81"/>
            <rFont val="Tahoma"/>
            <family val="2"/>
          </rPr>
          <t>Page 351 of PDF, 10-K (PPL line)</t>
        </r>
      </text>
    </comment>
    <comment ref="F56" authorId="2" shapeId="0" xr:uid="{00000000-0006-0000-2600-000037000000}">
      <text>
        <r>
          <rPr>
            <sz val="9"/>
            <color indexed="81"/>
            <rFont val="Tahoma"/>
            <family val="2"/>
          </rPr>
          <t>Page II-254 of PDF, 10-K
https://www.sec.gov/Archives/edgar/data/3153/000009212221000006/so-20201231.htm</t>
        </r>
      </text>
    </comment>
    <comment ref="E57" authorId="1" shapeId="0" xr:uid="{00000000-0006-0000-2600-000038000000}">
      <text>
        <r>
          <rPr>
            <sz val="9"/>
            <color indexed="81"/>
            <rFont val="Tahoma"/>
            <family val="2"/>
          </rPr>
          <t>Page 241 of PDF, 10-K</t>
        </r>
      </text>
    </comment>
    <comment ref="F57" authorId="2" shapeId="0" xr:uid="{00000000-0006-0000-2600-000039000000}">
      <text>
        <r>
          <rPr>
            <sz val="9"/>
            <color indexed="81"/>
            <rFont val="Tahoma"/>
            <family val="2"/>
          </rPr>
          <t>Page 241 of PDF, 10-K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  <author>rev3569</author>
  </authors>
  <commentList>
    <comment ref="E12" authorId="0" shapeId="0" xr:uid="{00000000-0006-0000-2700-000001000000}">
      <text>
        <r>
          <rPr>
            <sz val="9"/>
            <color indexed="81"/>
            <rFont val="Tahoma"/>
            <family val="2"/>
          </rPr>
          <t>NMF on VL</t>
        </r>
      </text>
    </comment>
    <comment ref="G12" authorId="0" shapeId="0" xr:uid="{00000000-0006-0000-2700-000002000000}">
      <text>
        <r>
          <rPr>
            <sz val="9"/>
            <color indexed="81"/>
            <rFont val="Tahoma"/>
            <family val="2"/>
          </rPr>
          <t>Page 80 of PDF, 10-K</t>
        </r>
      </text>
    </comment>
    <comment ref="E13" authorId="0" shapeId="0" xr:uid="{00000000-0006-0000-2700-000003000000}">
      <text>
        <r>
          <rPr>
            <sz val="9"/>
            <color indexed="81"/>
            <rFont val="Tahoma"/>
            <family val="2"/>
          </rPr>
          <t>NMF on VL</t>
        </r>
      </text>
    </comment>
    <comment ref="G13" authorId="0" shapeId="0" xr:uid="{00000000-0006-0000-2700-000004000000}">
      <text>
        <r>
          <rPr>
            <sz val="9"/>
            <color indexed="81"/>
            <rFont val="Tahoma"/>
            <family val="2"/>
          </rPr>
          <t>Page 65 of PDF, 10-K</t>
        </r>
      </text>
    </comment>
    <comment ref="G14" authorId="0" shapeId="0" xr:uid="{00000000-0006-0000-2700-000005000000}">
      <text>
        <r>
          <rPr>
            <sz val="9"/>
            <color indexed="81"/>
            <rFont val="Tahoma"/>
            <family val="2"/>
          </rPr>
          <t>Page 104 of PDF, 10-K</t>
        </r>
      </text>
    </comment>
    <comment ref="G15" authorId="0" shapeId="0" xr:uid="{00000000-0006-0000-2700-000006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Page 130 of PDF, 10-K</t>
        </r>
      </text>
    </comment>
    <comment ref="G16" authorId="0" shapeId="0" xr:uid="{00000000-0006-0000-2700-000007000000}">
      <text>
        <r>
          <rPr>
            <sz val="9"/>
            <color indexed="81"/>
            <rFont val="Tahoma"/>
            <family val="2"/>
          </rPr>
          <t>Page 86 of PDF, 10-K</t>
        </r>
      </text>
    </comment>
    <comment ref="G17" authorId="1" shapeId="0" xr:uid="{00000000-0006-0000-2700-000008000000}">
      <text>
        <r>
          <rPr>
            <b/>
            <sz val="9"/>
            <color indexed="81"/>
            <rFont val="Tahoma"/>
            <family val="2"/>
          </rPr>
          <t>rev3569:</t>
        </r>
        <r>
          <rPr>
            <sz val="9"/>
            <color indexed="81"/>
            <rFont val="Tahoma"/>
            <family val="2"/>
          </rPr>
          <t xml:space="preserve">
Washington State Cap Rate Study
</t>
        </r>
      </text>
    </comment>
    <comment ref="G18" authorId="1" shapeId="0" xr:uid="{00000000-0006-0000-2700-000009000000}">
      <text>
        <r>
          <rPr>
            <b/>
            <sz val="9"/>
            <color indexed="81"/>
            <rFont val="Tahoma"/>
            <family val="2"/>
          </rPr>
          <t>rev3569:</t>
        </r>
        <r>
          <rPr>
            <sz val="9"/>
            <color indexed="81"/>
            <rFont val="Tahoma"/>
            <family val="2"/>
          </rPr>
          <t xml:space="preserve">
Washington State Cap Rate Study
</t>
        </r>
      </text>
    </comment>
    <comment ref="G20" authorId="1" shapeId="0" xr:uid="{00000000-0006-0000-2700-00000A000000}">
      <text>
        <r>
          <rPr>
            <b/>
            <sz val="9"/>
            <color indexed="81"/>
            <rFont val="Tahoma"/>
            <family val="2"/>
          </rPr>
          <t>rev3569:</t>
        </r>
        <r>
          <rPr>
            <sz val="9"/>
            <color indexed="81"/>
            <rFont val="Tahoma"/>
            <family val="2"/>
          </rPr>
          <t xml:space="preserve">
Washington State Cap Rate Study
</t>
        </r>
      </text>
    </comment>
    <comment ref="G21" authorId="0" shapeId="0" xr:uid="{00000000-0006-0000-2700-00000B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Page 82 of PDF, 10-K</t>
        </r>
      </text>
    </comment>
    <comment ref="G22" authorId="1" shapeId="0" xr:uid="{00000000-0006-0000-2700-00000C000000}">
      <text>
        <r>
          <rPr>
            <b/>
            <sz val="9"/>
            <color indexed="81"/>
            <rFont val="Tahoma"/>
            <family val="2"/>
          </rPr>
          <t>rev3569:</t>
        </r>
        <r>
          <rPr>
            <sz val="9"/>
            <color indexed="81"/>
            <rFont val="Tahoma"/>
            <family val="2"/>
          </rPr>
          <t xml:space="preserve">
Washington State Cap Rate Study
</t>
        </r>
      </text>
    </comment>
    <comment ref="H22" authorId="0" shapeId="0" xr:uid="{00000000-0006-0000-2700-00000D000000}">
      <text>
        <r>
          <rPr>
            <sz val="9"/>
            <color indexed="81"/>
            <rFont val="Tahoma"/>
            <family val="2"/>
          </rPr>
          <t>Pulled from Washington State study (page 9)</t>
        </r>
      </text>
    </comment>
    <comment ref="G23" authorId="0" shapeId="0" xr:uid="{00000000-0006-0000-2700-00000E000000}">
      <text>
        <r>
          <rPr>
            <sz val="9"/>
            <color indexed="81"/>
            <rFont val="Tahoma"/>
            <family val="2"/>
          </rPr>
          <t>Page 121 of PDF, 10-K</t>
        </r>
      </text>
    </comment>
    <comment ref="G24" authorId="0" shapeId="0" xr:uid="{00000000-0006-0000-2700-00000F000000}">
      <text>
        <r>
          <rPr>
            <sz val="9"/>
            <color indexed="81"/>
            <rFont val="Tahoma"/>
            <family val="2"/>
          </rPr>
          <t>Page 49 of PDF, 10-K</t>
        </r>
      </text>
    </comment>
    <comment ref="G25" authorId="0" shapeId="0" xr:uid="{00000000-0006-0000-2700-000010000000}">
      <text>
        <r>
          <rPr>
            <sz val="9"/>
            <color indexed="81"/>
            <rFont val="Tahoma"/>
            <family val="2"/>
          </rPr>
          <t>Page 132 of PDF, 10-K</t>
        </r>
      </text>
    </comment>
    <comment ref="G26" authorId="1" shapeId="0" xr:uid="{00000000-0006-0000-2700-000011000000}">
      <text>
        <r>
          <rPr>
            <b/>
            <sz val="9"/>
            <color indexed="81"/>
            <rFont val="Tahoma"/>
            <family val="2"/>
          </rPr>
          <t>rev3569:</t>
        </r>
        <r>
          <rPr>
            <sz val="9"/>
            <color indexed="81"/>
            <rFont val="Tahoma"/>
            <family val="2"/>
          </rPr>
          <t xml:space="preserve">
Washington State Cap Rate Study
</t>
        </r>
      </text>
    </comment>
    <comment ref="G27" authorId="1" shapeId="0" xr:uid="{00000000-0006-0000-2700-000012000000}">
      <text>
        <r>
          <rPr>
            <b/>
            <sz val="9"/>
            <color indexed="81"/>
            <rFont val="Tahoma"/>
            <family val="2"/>
          </rPr>
          <t>rev3569:</t>
        </r>
        <r>
          <rPr>
            <sz val="9"/>
            <color indexed="81"/>
            <rFont val="Tahoma"/>
            <family val="2"/>
          </rPr>
          <t xml:space="preserve">
Washington State Cap Rate Study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  <author>Baker, Mike A (DOR)</author>
  </authors>
  <commentList>
    <comment ref="E1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VL page says "--"  Washington state indicates 16.2%</t>
        </r>
      </text>
    </comment>
    <comment ref="H11" authorId="0" shapeId="0" xr:uid="{00000000-0006-0000-0300-000002000000}">
      <text>
        <r>
          <rPr>
            <sz val="9"/>
            <color indexed="81"/>
            <rFont val="Tahoma"/>
            <family val="2"/>
          </rPr>
          <t xml:space="preserve">(No rating found in the Mergent Bond Record book or the 10-K) per Montana study pg 13
</t>
        </r>
      </text>
    </comment>
    <comment ref="H12" authorId="0" shapeId="0" xr:uid="{00000000-0006-0000-0300-000003000000}">
      <text>
        <r>
          <rPr>
            <sz val="9"/>
            <color indexed="81"/>
            <rFont val="Tahoma"/>
            <family val="2"/>
          </rPr>
          <t>No rating found in the Mergent Bond Record book or the 10-K, Colorado did apply a mergent rating</t>
        </r>
      </text>
    </comment>
    <comment ref="G13" authorId="1" shapeId="0" xr:uid="{00000000-0006-0000-0300-000004000000}">
      <text>
        <r>
          <rPr>
            <b/>
            <sz val="9"/>
            <color indexed="81"/>
            <rFont val="Tahoma"/>
            <family val="2"/>
          </rPr>
          <t>Baker, Mike A (DOR):</t>
        </r>
        <r>
          <rPr>
            <sz val="9"/>
            <color indexed="81"/>
            <rFont val="Tahoma"/>
            <family val="2"/>
          </rPr>
          <t xml:space="preserve">
See Washington State</t>
        </r>
      </text>
    </comment>
    <comment ref="H13" authorId="0" shapeId="0" xr:uid="{00000000-0006-0000-0300-000005000000}">
      <text>
        <r>
          <rPr>
            <sz val="9"/>
            <color indexed="81"/>
            <rFont val="Tahoma"/>
            <charset val="1"/>
          </rPr>
          <t>See Oregon study</t>
        </r>
      </text>
    </comment>
    <comment ref="G14" authorId="1" shapeId="0" xr:uid="{00000000-0006-0000-0300-000006000000}">
      <text>
        <r>
          <rPr>
            <b/>
            <sz val="9"/>
            <color indexed="81"/>
            <rFont val="Tahoma"/>
            <family val="2"/>
          </rPr>
          <t>Baker, Mike A (DOR):</t>
        </r>
        <r>
          <rPr>
            <sz val="9"/>
            <color indexed="81"/>
            <rFont val="Tahoma"/>
            <family val="2"/>
          </rPr>
          <t xml:space="preserve">
See Washington State page 11</t>
        </r>
      </text>
    </comment>
    <comment ref="H14" authorId="0" shapeId="0" xr:uid="{00000000-0006-0000-0300-000007000000}">
      <text>
        <r>
          <rPr>
            <sz val="9"/>
            <color indexed="81"/>
            <rFont val="Tahoma"/>
            <family val="2"/>
          </rPr>
          <t>See Oregon study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rev4440</author>
    <author>REVT221</author>
    <author>rev3857</author>
  </authors>
  <commentList>
    <comment ref="H17" authorId="0" shapeId="0" xr:uid="{00000000-0006-0000-2A00-000003000000}">
      <text>
        <r>
          <rPr>
            <sz val="9"/>
            <color indexed="81"/>
            <rFont val="Tahoma"/>
            <family val="2"/>
          </rPr>
          <t>Page 241 of PDF, 10-K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17" authorId="0" shapeId="0" xr:uid="{00000000-0006-0000-2A00-000004000000}">
      <text>
        <r>
          <rPr>
            <sz val="9"/>
            <color indexed="81"/>
            <rFont val="Tahoma"/>
            <family val="2"/>
          </rPr>
          <t>Page 241 of PDF, 10-K</t>
        </r>
      </text>
    </comment>
    <comment ref="H18" authorId="0" shapeId="0" xr:uid="{00000000-0006-0000-2A00-000007000000}">
      <text>
        <r>
          <rPr>
            <sz val="9"/>
            <color indexed="81"/>
            <rFont val="Tahoma"/>
            <family val="2"/>
          </rPr>
          <t>Page 144 of PDF, 10-K</t>
        </r>
      </text>
    </comment>
    <comment ref="J18" authorId="0" shapeId="0" xr:uid="{00000000-0006-0000-2A00-000008000000}">
      <text>
        <r>
          <rPr>
            <sz val="9"/>
            <color indexed="81"/>
            <rFont val="Tahoma"/>
            <family val="2"/>
          </rPr>
          <t>Page 144 of PDF, 10-K</t>
        </r>
      </text>
    </comment>
    <comment ref="H19" authorId="0" shapeId="0" xr:uid="{00000000-0006-0000-2A00-000009000000}">
      <text>
        <r>
          <rPr>
            <sz val="9"/>
            <color indexed="81"/>
            <rFont val="Tahoma"/>
            <family val="2"/>
          </rPr>
          <t>Page 209 of PDF, 10-K</t>
        </r>
      </text>
    </comment>
    <comment ref="I19" authorId="0" shapeId="0" xr:uid="{00000000-0006-0000-2A00-00000A000000}">
      <text>
        <r>
          <rPr>
            <sz val="9"/>
            <color indexed="81"/>
            <rFont val="Tahoma"/>
            <family val="2"/>
          </rPr>
          <t>Page 209 of PDF, 10-K</t>
        </r>
      </text>
    </comment>
    <comment ref="J19" authorId="0" shapeId="0" xr:uid="{00000000-0006-0000-2A00-00000B000000}">
      <text>
        <r>
          <rPr>
            <sz val="9"/>
            <color indexed="81"/>
            <rFont val="Tahoma"/>
            <family val="2"/>
          </rPr>
          <t>Page 209 of PDF, 10-K</t>
        </r>
      </text>
    </comment>
    <comment ref="H20" authorId="1" shapeId="0" xr:uid="{00000000-0006-0000-2A00-00000C000000}">
      <text>
        <r>
          <rPr>
            <sz val="9"/>
            <color indexed="81"/>
            <rFont val="Tahoma"/>
            <family val="2"/>
          </rPr>
          <t xml:space="preserve">Page M51/67 of PDF, Annual Report
</t>
        </r>
      </text>
    </comment>
    <comment ref="I20" authorId="1" shapeId="0" xr:uid="{00000000-0006-0000-2A00-00000D000000}">
      <text>
        <r>
          <rPr>
            <sz val="9"/>
            <color indexed="81"/>
            <rFont val="Tahoma"/>
            <family val="2"/>
          </rPr>
          <t>Page M51/67 of PDF, Annual Report</t>
        </r>
      </text>
    </comment>
    <comment ref="J20" authorId="1" shapeId="0" xr:uid="{00000000-0006-0000-2A00-00000E000000}">
      <text>
        <r>
          <rPr>
            <sz val="9"/>
            <color indexed="81"/>
            <rFont val="Tahoma"/>
            <family val="2"/>
          </rPr>
          <t>Page F57/199 of PDF, Annual Report
0.78555 is CAD -&gt; USD conversion 12/31/20</t>
        </r>
      </text>
    </comment>
    <comment ref="H21" authorId="0" shapeId="0" xr:uid="{00000000-0006-0000-2A00-00000F000000}">
      <text>
        <r>
          <rPr>
            <sz val="9"/>
            <color indexed="81"/>
            <rFont val="Tahoma"/>
            <family val="2"/>
          </rPr>
          <t>Page 143 of PDF, 10-K</t>
        </r>
      </text>
    </comment>
    <comment ref="J21" authorId="0" shapeId="0" xr:uid="{00000000-0006-0000-2A00-000010000000}">
      <text>
        <r>
          <rPr>
            <sz val="9"/>
            <color indexed="81"/>
            <rFont val="Tahoma"/>
            <family val="2"/>
          </rPr>
          <t>Page 142 of PDF, 10-K</t>
        </r>
      </text>
    </comment>
    <comment ref="F30" authorId="2" shapeId="0" xr:uid="{00000000-0006-0000-2A00-000011000000}">
      <text>
        <r>
          <rPr>
            <b/>
            <sz val="9"/>
            <color indexed="81"/>
            <rFont val="Tahoma"/>
            <family val="2"/>
          </rPr>
          <t>See Page 381  
rev3857:</t>
        </r>
        <r>
          <rPr>
            <sz val="9"/>
            <color indexed="81"/>
            <rFont val="Tahoma"/>
            <family val="2"/>
          </rPr>
          <t xml:space="preserve">
Fair value found on page 241 in the 10K.
Carrying value found on page 297 in the 10K</t>
        </r>
      </text>
    </comment>
    <comment ref="F31" authorId="2" shapeId="0" xr:uid="{00000000-0006-0000-2A00-000013000000}">
      <text>
        <r>
          <rPr>
            <sz val="9"/>
            <color indexed="81"/>
            <rFont val="Tahoma"/>
            <family val="2"/>
          </rPr>
          <t>Page 177 of PDF, 10-K</t>
        </r>
      </text>
    </comment>
    <comment ref="F32" authorId="2" shapeId="0" xr:uid="{00000000-0006-0000-2A00-000014000000}">
      <text>
        <r>
          <rPr>
            <sz val="9"/>
            <color indexed="81"/>
            <rFont val="Tahoma"/>
            <family val="2"/>
          </rPr>
          <t>Page II-254 of PDF, 10-K
https://www.sec.gov/Archives/edgar/data/3153/000009212221000006/so-20201231.htm</t>
        </r>
      </text>
    </comment>
    <comment ref="F33" authorId="2" shapeId="0" xr:uid="{00000000-0006-0000-2A00-000015000000}">
      <text>
        <r>
          <rPr>
            <b/>
            <sz val="9"/>
            <color indexed="81"/>
            <rFont val="Tahoma"/>
            <family val="2"/>
          </rPr>
          <t>See 10-K page F76 &amp; 58</t>
        </r>
      </text>
    </comment>
    <comment ref="F34" authorId="2" shapeId="0" xr:uid="{00000000-0006-0000-2A00-000016000000}">
      <text>
        <r>
          <rPr>
            <sz val="9"/>
            <color indexed="81"/>
            <rFont val="Tahoma"/>
            <family val="2"/>
          </rPr>
          <t>Page 248 of PDF, 10-K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rev3569</author>
    <author>K Reaves</author>
  </authors>
  <commentList>
    <comment ref="G12" authorId="0" shapeId="0" xr:uid="{00000000-0006-0000-2B00-000002000000}">
      <text>
        <r>
          <rPr>
            <b/>
            <sz val="9"/>
            <color indexed="81"/>
            <rFont val="Tahoma"/>
            <family val="2"/>
          </rPr>
          <t>rev3569:</t>
        </r>
        <r>
          <rPr>
            <sz val="9"/>
            <color indexed="81"/>
            <rFont val="Tahoma"/>
            <family val="2"/>
          </rPr>
          <t xml:space="preserve">
Washington State CAP Rate Study
</t>
        </r>
      </text>
    </comment>
    <comment ref="G14" authorId="0" shapeId="0" xr:uid="{00000000-0006-0000-2B00-000004000000}">
      <text>
        <r>
          <rPr>
            <b/>
            <sz val="9"/>
            <color indexed="81"/>
            <rFont val="Tahoma"/>
            <family val="2"/>
          </rPr>
          <t>rev3569:</t>
        </r>
        <r>
          <rPr>
            <sz val="9"/>
            <color indexed="81"/>
            <rFont val="Tahoma"/>
            <family val="2"/>
          </rPr>
          <t xml:space="preserve">
Washington State CAP Rate Study
</t>
        </r>
      </text>
    </comment>
    <comment ref="E15" authorId="1" shapeId="0" xr:uid="{00000000-0006-0000-2B00-000005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Vl has "--" for 2020 Income Tax Rate </t>
        </r>
      </text>
    </comment>
    <comment ref="G16" authorId="0" shapeId="0" xr:uid="{00000000-0006-0000-2B00-000006000000}">
      <text>
        <r>
          <rPr>
            <b/>
            <sz val="9"/>
            <color indexed="81"/>
            <rFont val="Tahoma"/>
            <family val="2"/>
          </rPr>
          <t>rev3569:</t>
        </r>
        <r>
          <rPr>
            <sz val="9"/>
            <color indexed="81"/>
            <rFont val="Tahoma"/>
            <family val="2"/>
          </rPr>
          <t xml:space="preserve">
Washington State CAP Rate Study
</t>
        </r>
      </text>
    </comment>
    <comment ref="H16" authorId="1" shapeId="0" xr:uid="{00000000-0006-0000-2B00-000007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Pulled from Colorado study (page 7)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  <author>REV4175</author>
    <author>REVT221</author>
    <author>rev4440</author>
    <author>rev3857</author>
  </authors>
  <commentList>
    <comment ref="F13" authorId="0" shapeId="0" xr:uid="{00000000-0006-0000-2E00-000001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Formula, average of High and Low</t>
        </r>
      </text>
    </comment>
    <comment ref="J13" authorId="0" shapeId="0" xr:uid="{00000000-0006-0000-2E00-000002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From 10-K, "Current portion of long-term debt" + "Long-term debt"</t>
        </r>
      </text>
    </comment>
    <comment ref="A17" authorId="1" shapeId="0" xr:uid="{00000000-0006-0000-2E00-000003000000}">
      <text>
        <r>
          <rPr>
            <b/>
            <sz val="9"/>
            <color indexed="81"/>
            <rFont val="Tahoma"/>
            <family val="2"/>
          </rPr>
          <t>REV4175:</t>
        </r>
        <r>
          <rPr>
            <sz val="9"/>
            <color indexed="81"/>
            <rFont val="Tahoma"/>
            <family val="2"/>
          </rPr>
          <t xml:space="preserve">
Atmos Energy's year end is Sept 30. Used the quarterly report (10 Q) for quarter ended 12/31/2018.</t>
        </r>
      </text>
    </comment>
    <comment ref="H17" authorId="2" shapeId="0" xr:uid="{00000000-0006-0000-2E00-000004000000}">
      <text>
        <r>
          <rPr>
            <sz val="9"/>
            <color indexed="81"/>
            <rFont val="Tahoma"/>
            <family val="2"/>
          </rPr>
          <t>Page 3 of PDF, 10-Q</t>
        </r>
      </text>
    </comment>
    <comment ref="J17" authorId="2" shapeId="0" xr:uid="{00000000-0006-0000-2E00-000005000000}">
      <text>
        <r>
          <rPr>
            <sz val="9"/>
            <color indexed="81"/>
            <rFont val="Tahoma"/>
            <family val="2"/>
          </rPr>
          <t>Page 3 of PDF, 10-Q</t>
        </r>
      </text>
    </comment>
    <comment ref="H18" authorId="2" shapeId="0" xr:uid="{00000000-0006-0000-2E00-000006000000}">
      <text>
        <r>
          <rPr>
            <sz val="9"/>
            <color indexed="81"/>
            <rFont val="Tahoma"/>
            <family val="2"/>
          </rPr>
          <t>Page 91 of PDF, 10-K</t>
        </r>
      </text>
    </comment>
    <comment ref="J18" authorId="2" shapeId="0" xr:uid="{00000000-0006-0000-2E00-000007000000}">
      <text>
        <r>
          <rPr>
            <sz val="9"/>
            <color indexed="81"/>
            <rFont val="Tahoma"/>
            <family val="2"/>
          </rPr>
          <t>Page 91 of PDF, 10-K</t>
        </r>
      </text>
    </comment>
    <comment ref="H19" authorId="3" shapeId="0" xr:uid="{00000000-0006-0000-2E00-000008000000}">
      <text>
        <r>
          <rPr>
            <sz val="9"/>
            <color indexed="81"/>
            <rFont val="Tahoma"/>
            <family val="2"/>
          </rPr>
          <t>Page 163 of PDF, 10-K</t>
        </r>
      </text>
    </comment>
    <comment ref="I19" authorId="3" shapeId="0" xr:uid="{00000000-0006-0000-2E00-000009000000}">
      <text>
        <r>
          <rPr>
            <sz val="9"/>
            <color indexed="81"/>
            <rFont val="Tahoma"/>
            <family val="2"/>
          </rPr>
          <t>Page 163 of PDF, 10-K
Added Series A, B, and C preferred stock</t>
        </r>
      </text>
    </comment>
    <comment ref="J19" authorId="3" shapeId="0" xr:uid="{00000000-0006-0000-2E00-00000A000000}">
      <text>
        <r>
          <rPr>
            <sz val="9"/>
            <color indexed="81"/>
            <rFont val="Tahoma"/>
            <family val="2"/>
          </rPr>
          <t>Page 163 of PDF, 10-K</t>
        </r>
      </text>
    </comment>
    <comment ref="H20" authorId="3" shapeId="0" xr:uid="{00000000-0006-0000-2E00-00000B000000}">
      <text>
        <r>
          <rPr>
            <sz val="9"/>
            <color indexed="81"/>
            <rFont val="Tahoma"/>
            <family val="2"/>
          </rPr>
          <t>Page 177 of PDF, 10-K</t>
        </r>
      </text>
    </comment>
    <comment ref="I20" authorId="2" shapeId="0" xr:uid="{00000000-0006-0000-2E00-00000C000000}">
      <text>
        <r>
          <rPr>
            <sz val="9"/>
            <color indexed="81"/>
            <rFont val="Tahoma"/>
            <family val="2"/>
          </rPr>
          <t>Page 97 of PDF, 10-K</t>
        </r>
      </text>
    </comment>
    <comment ref="J20" authorId="3" shapeId="0" xr:uid="{00000000-0006-0000-2E00-00000D000000}">
      <text>
        <r>
          <rPr>
            <sz val="9"/>
            <color indexed="81"/>
            <rFont val="Tahoma"/>
            <family val="2"/>
          </rPr>
          <t>Page 177 of PDF, 10-K</t>
        </r>
      </text>
    </comment>
    <comment ref="H21" authorId="3" shapeId="0" xr:uid="{00000000-0006-0000-2E00-00000E000000}">
      <text>
        <r>
          <rPr>
            <sz val="9"/>
            <color indexed="81"/>
            <rFont val="Tahoma"/>
            <family val="2"/>
          </rPr>
          <t>Page 64 of PDF, 10-K</t>
        </r>
      </text>
    </comment>
    <comment ref="J21" authorId="3" shapeId="0" xr:uid="{00000000-0006-0000-2E00-00000F000000}">
      <text>
        <r>
          <rPr>
            <b/>
            <sz val="9"/>
            <color indexed="81"/>
            <rFont val="Tahoma"/>
            <family val="2"/>
          </rPr>
          <t xml:space="preserve">See 10K page 56 &amp; 89 &amp; 99
</t>
        </r>
      </text>
    </comment>
    <comment ref="A22" authorId="1" shapeId="0" xr:uid="{00000000-0006-0000-2E00-000010000000}">
      <text>
        <r>
          <rPr>
            <b/>
            <sz val="9"/>
            <color indexed="81"/>
            <rFont val="Tahoma"/>
            <family val="2"/>
          </rPr>
          <t>REV4175:</t>
        </r>
        <r>
          <rPr>
            <sz val="9"/>
            <color indexed="81"/>
            <rFont val="Tahoma"/>
            <family val="2"/>
          </rPr>
          <t xml:space="preserve">
New Jersey Resources has a Sep 30 year end. The 10-q for quarter ended 12/31/2018 was used.</t>
        </r>
      </text>
    </comment>
    <comment ref="H22" authorId="3" shapeId="0" xr:uid="{00000000-0006-0000-2E00-000011000000}">
      <text>
        <r>
          <rPr>
            <sz val="9"/>
            <color indexed="81"/>
            <rFont val="Tahoma"/>
            <family val="2"/>
          </rPr>
          <t>Page 14 of PDF, 10-Q</t>
        </r>
      </text>
    </comment>
    <comment ref="J22" authorId="2" shapeId="0" xr:uid="{00000000-0006-0000-2E00-000012000000}">
      <text>
        <r>
          <rPr>
            <sz val="9"/>
            <color indexed="81"/>
            <rFont val="Tahoma"/>
            <family val="2"/>
          </rPr>
          <t>Page 14 of PDF, 10-Q</t>
        </r>
      </text>
    </comment>
    <comment ref="H23" authorId="3" shapeId="0" xr:uid="{00000000-0006-0000-2E00-000013000000}">
      <text>
        <r>
          <rPr>
            <sz val="9"/>
            <color indexed="81"/>
            <rFont val="Tahoma"/>
            <family val="2"/>
          </rPr>
          <t>Page 86 of PDF, 10-K</t>
        </r>
      </text>
    </comment>
    <comment ref="I23" authorId="3" shapeId="0" xr:uid="{00000000-0006-0000-2E00-000014000000}">
      <text>
        <r>
          <rPr>
            <sz val="9"/>
            <color indexed="81"/>
            <rFont val="Tahoma"/>
            <family val="2"/>
          </rPr>
          <t>Page 86 of PDF, 10-K</t>
        </r>
      </text>
    </comment>
    <comment ref="J23" authorId="3" shapeId="0" xr:uid="{00000000-0006-0000-2E00-000015000000}">
      <text>
        <r>
          <rPr>
            <sz val="9"/>
            <color indexed="81"/>
            <rFont val="Tahoma"/>
            <family val="2"/>
          </rPr>
          <t>Page 86 of PDF, 10-K</t>
        </r>
      </text>
    </comment>
    <comment ref="H24" authorId="3" shapeId="0" xr:uid="{00000000-0006-0000-2E00-000016000000}">
      <text>
        <r>
          <rPr>
            <b/>
            <sz val="9"/>
            <color indexed="81"/>
            <rFont val="Tahoma"/>
            <family val="2"/>
          </rPr>
          <t>Page 133 of PDF, 10-K</t>
        </r>
      </text>
    </comment>
    <comment ref="J24" authorId="0" shapeId="0" xr:uid="{00000000-0006-0000-2E00-000017000000}">
      <text>
        <r>
          <rPr>
            <sz val="9"/>
            <color indexed="81"/>
            <rFont val="Tahoma"/>
            <family val="2"/>
          </rPr>
          <t>Page 139 of PDF, 10-K</t>
        </r>
      </text>
    </comment>
    <comment ref="H25" authorId="3" shapeId="0" xr:uid="{00000000-0006-0000-2E00-000018000000}">
      <text>
        <r>
          <rPr>
            <b/>
            <sz val="9"/>
            <color indexed="81"/>
            <rFont val="Tahoma"/>
            <family val="2"/>
          </rPr>
          <t>Page 95 of PDF, 10-K</t>
        </r>
      </text>
    </comment>
    <comment ref="J25" authorId="3" shapeId="0" xr:uid="{00000000-0006-0000-2E00-000019000000}">
      <text>
        <r>
          <rPr>
            <b/>
            <sz val="9"/>
            <color indexed="81"/>
            <rFont val="Tahoma"/>
            <family val="2"/>
          </rPr>
          <t>Page 95 of PDF,  10-K</t>
        </r>
      </text>
    </comment>
    <comment ref="H26" authorId="3" shapeId="0" xr:uid="{00000000-0006-0000-2E00-00001A000000}">
      <text>
        <r>
          <rPr>
            <b/>
            <sz val="9"/>
            <color indexed="81"/>
            <rFont val="Tahoma"/>
            <family val="2"/>
          </rPr>
          <t>Page 106 of PDF, 10-K</t>
        </r>
      </text>
    </comment>
    <comment ref="J26" authorId="3" shapeId="0" xr:uid="{00000000-0006-0000-2E00-00001B000000}">
      <text>
        <r>
          <rPr>
            <b/>
            <sz val="9"/>
            <color indexed="81"/>
            <rFont val="Tahoma"/>
            <family val="2"/>
          </rPr>
          <t>Page 106 of PDF, 10-K</t>
        </r>
      </text>
    </comment>
    <comment ref="H27" authorId="3" shapeId="0" xr:uid="{00000000-0006-0000-2E00-00001C000000}">
      <text>
        <r>
          <rPr>
            <b/>
            <sz val="9"/>
            <color indexed="81"/>
            <rFont val="Tahoma"/>
            <family val="2"/>
          </rPr>
          <t>Page 71 of PDF, 10-K</t>
        </r>
      </text>
    </comment>
    <comment ref="J27" authorId="3" shapeId="0" xr:uid="{00000000-0006-0000-2E00-00001D000000}">
      <text>
        <r>
          <rPr>
            <b/>
            <sz val="9"/>
            <color indexed="81"/>
            <rFont val="Tahoma"/>
            <family val="2"/>
          </rPr>
          <t xml:space="preserve">Page 79 of PDF, 10-K
Do not add debt of holding co - only use info for Southwest Gas Corporation &amp; Subsidiaries
</t>
        </r>
      </text>
    </comment>
    <comment ref="A28" authorId="1" shapeId="0" xr:uid="{00000000-0006-0000-2E00-00001E000000}">
      <text>
        <r>
          <rPr>
            <b/>
            <sz val="9"/>
            <color indexed="81"/>
            <rFont val="Tahoma"/>
            <family val="2"/>
          </rPr>
          <t>REV4175:</t>
        </r>
        <r>
          <rPr>
            <sz val="9"/>
            <color indexed="81"/>
            <rFont val="Tahoma"/>
            <family val="2"/>
          </rPr>
          <t xml:space="preserve">
Spire Inc. has a Sep 30 year end. The 10-q for quarter ended 12/31/2018 was used.</t>
        </r>
      </text>
    </comment>
    <comment ref="H28" authorId="3" shapeId="0" xr:uid="{00000000-0006-0000-2E00-00001F000000}">
      <text>
        <r>
          <rPr>
            <b/>
            <sz val="9"/>
            <color indexed="81"/>
            <rFont val="Tahoma"/>
            <family val="2"/>
          </rPr>
          <t>Page 11 of PDF, 10-Q</t>
        </r>
      </text>
    </comment>
    <comment ref="I28" authorId="3" shapeId="0" xr:uid="{00000000-0006-0000-2E00-000020000000}">
      <text>
        <r>
          <rPr>
            <b/>
            <sz val="9"/>
            <color indexed="81"/>
            <rFont val="Tahoma"/>
            <family val="2"/>
          </rPr>
          <t>Page 11 of 10-Q</t>
        </r>
      </text>
    </comment>
    <comment ref="J28" authorId="3" shapeId="0" xr:uid="{00000000-0006-0000-2E00-000021000000}">
      <text>
        <r>
          <rPr>
            <b/>
            <sz val="9"/>
            <color indexed="81"/>
            <rFont val="Tahoma"/>
            <family val="2"/>
          </rPr>
          <t>Page 11 of PDF, 10-Q</t>
        </r>
      </text>
    </comment>
    <comment ref="H29" authorId="3" shapeId="0" xr:uid="{00000000-0006-0000-2E00-000022000000}">
      <text>
        <r>
          <rPr>
            <b/>
            <sz val="9"/>
            <color indexed="81"/>
            <rFont val="Tahoma"/>
            <family val="2"/>
          </rPr>
          <t>Page 162 of PDF, 10-K</t>
        </r>
      </text>
    </comment>
    <comment ref="I29" authorId="3" shapeId="0" xr:uid="{00000000-0006-0000-2E00-000023000000}">
      <text>
        <r>
          <rPr>
            <b/>
            <sz val="9"/>
            <color indexed="81"/>
            <rFont val="Tahoma"/>
            <family val="2"/>
          </rPr>
          <t>Page 162 of PDF, 10-K</t>
        </r>
      </text>
    </comment>
    <comment ref="J29" authorId="3" shapeId="0" xr:uid="{00000000-0006-0000-2E00-000024000000}">
      <text>
        <r>
          <rPr>
            <b/>
            <sz val="9"/>
            <color indexed="81"/>
            <rFont val="Tahoma"/>
            <family val="2"/>
          </rPr>
          <t>Page 162 of PDF, 10-K</t>
        </r>
      </text>
    </comment>
    <comment ref="D35" authorId="0" shapeId="0" xr:uid="{00000000-0006-0000-2E00-000025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Formula: Common Stock Shares Outstanding * 12/31 Stock Price</t>
        </r>
      </text>
    </comment>
    <comment ref="F35" authorId="0" shapeId="0" xr:uid="{00000000-0006-0000-2E00-000026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Long-Term Debt * (Fair Value of Long-term debt)/(Carrying amount of Long-term debt)</t>
        </r>
      </text>
    </comment>
    <comment ref="F39" authorId="4" shapeId="0" xr:uid="{00000000-0006-0000-2E00-000027000000}">
      <text>
        <r>
          <rPr>
            <sz val="9"/>
            <color indexed="81"/>
            <rFont val="Tahoma"/>
            <family val="2"/>
          </rPr>
          <t xml:space="preserve">Page 23 of PDF, 10-Q
</t>
        </r>
      </text>
    </comment>
    <comment ref="F40" authorId="4" shapeId="0" xr:uid="{00000000-0006-0000-2E00-000028000000}">
      <text>
        <r>
          <rPr>
            <sz val="9"/>
            <color indexed="81"/>
            <rFont val="Tahoma"/>
            <family val="2"/>
          </rPr>
          <t>Page 140 of PDF, 10-K</t>
        </r>
      </text>
    </comment>
    <comment ref="F41" authorId="4" shapeId="0" xr:uid="{00000000-0006-0000-2E00-000029000000}">
      <text>
        <r>
          <rPr>
            <b/>
            <sz val="9"/>
            <color indexed="81"/>
            <rFont val="Tahoma"/>
            <family val="2"/>
          </rPr>
          <t>See 10K  page 168</t>
        </r>
      </text>
    </comment>
    <comment ref="F42" authorId="4" shapeId="0" xr:uid="{00000000-0006-0000-2E00-00002A000000}">
      <text>
        <r>
          <rPr>
            <sz val="9"/>
            <color indexed="81"/>
            <rFont val="Tahoma"/>
            <family val="2"/>
          </rPr>
          <t xml:space="preserve">Page 232 of PDF, 10-K
</t>
        </r>
      </text>
    </comment>
    <comment ref="F43" authorId="4" shapeId="0" xr:uid="{00000000-0006-0000-2E00-00002B000000}">
      <text>
        <r>
          <rPr>
            <sz val="9"/>
            <color indexed="81"/>
            <rFont val="Tahoma"/>
            <family val="2"/>
          </rPr>
          <t>Page 108 of PDF, 10-K</t>
        </r>
      </text>
    </comment>
    <comment ref="F44" authorId="3" shapeId="0" xr:uid="{00000000-0006-0000-2E00-00002C000000}">
      <text>
        <r>
          <rPr>
            <sz val="9"/>
            <color indexed="81"/>
            <rFont val="Tahoma"/>
            <family val="2"/>
          </rPr>
          <t>Page 47 of PDF, 10-Q</t>
        </r>
      </text>
    </comment>
    <comment ref="F45" authorId="2" shapeId="0" xr:uid="{00000000-0006-0000-2E00-00002D000000}">
      <text>
        <r>
          <rPr>
            <sz val="9"/>
            <color indexed="81"/>
            <rFont val="Tahoma"/>
            <family val="2"/>
          </rPr>
          <t>Page 160 of PDF, 10-K</t>
        </r>
      </text>
    </comment>
    <comment ref="F46" authorId="4" shapeId="0" xr:uid="{00000000-0006-0000-2E00-00002E000000}">
      <text>
        <r>
          <rPr>
            <sz val="9"/>
            <color indexed="81"/>
            <rFont val="Tahoma"/>
            <family val="2"/>
          </rPr>
          <t>Page 179 of PDF, 10-K</t>
        </r>
      </text>
    </comment>
    <comment ref="F47" authorId="2" shapeId="0" xr:uid="{00000000-0006-0000-2E00-00002F000000}">
      <text>
        <r>
          <rPr>
            <b/>
            <sz val="9"/>
            <color indexed="81"/>
            <rFont val="Tahoma"/>
            <family val="2"/>
          </rPr>
          <t>Page 123 of PDF, 10-K</t>
        </r>
      </text>
    </comment>
    <comment ref="F48" authorId="4" shapeId="0" xr:uid="{00000000-0006-0000-2E00-000030000000}">
      <text>
        <r>
          <rPr>
            <b/>
            <sz val="9"/>
            <color indexed="81"/>
            <rFont val="Tahoma"/>
            <family val="2"/>
          </rPr>
          <t>Page 158 of PDF, 10-K</t>
        </r>
      </text>
    </comment>
    <comment ref="F49" authorId="4" shapeId="0" xr:uid="{00000000-0006-0000-2E00-000031000000}">
      <text>
        <r>
          <rPr>
            <sz val="9"/>
            <color indexed="81"/>
            <rFont val="Tahoma"/>
            <family val="2"/>
          </rPr>
          <t>Page 111 of PDF, 10-K</t>
        </r>
      </text>
    </comment>
    <comment ref="F50" authorId="4" shapeId="0" xr:uid="{00000000-0006-0000-2E00-000032000000}">
      <text>
        <r>
          <rPr>
            <sz val="9"/>
            <color indexed="81"/>
            <rFont val="Tahoma"/>
            <family val="2"/>
          </rPr>
          <t>Page 34 of PDF, 10-Q</t>
        </r>
      </text>
    </comment>
    <comment ref="E51" authorId="2" shapeId="0" xr:uid="{00000000-0006-0000-2E00-000033000000}">
      <text>
        <r>
          <rPr>
            <sz val="9"/>
            <color indexed="81"/>
            <rFont val="Tahoma"/>
            <family val="2"/>
          </rPr>
          <t>Page 241 of PDF, 10-K</t>
        </r>
      </text>
    </comment>
    <comment ref="F51" authorId="4" shapeId="0" xr:uid="{00000000-0006-0000-2E00-000034000000}">
      <text>
        <r>
          <rPr>
            <b/>
            <sz val="9"/>
            <color indexed="81"/>
            <rFont val="Tahoma"/>
            <family val="2"/>
          </rPr>
          <t xml:space="preserve">Page 241 of PDF, 10-K
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  <author>REVT221</author>
    <author>rev3569</author>
  </authors>
  <commentList>
    <comment ref="H16" authorId="0" shapeId="0" xr:uid="{00000000-0006-0000-2F00-000001000000}">
      <text>
        <r>
          <rPr>
            <sz val="9"/>
            <color indexed="81"/>
            <rFont val="Tahoma"/>
            <family val="2"/>
          </rPr>
          <t>Pulled from Washington State study (page 9)</t>
        </r>
      </text>
    </comment>
    <comment ref="H17" authorId="0" shapeId="0" xr:uid="{00000000-0006-0000-2F00-000002000000}">
      <text>
        <r>
          <rPr>
            <sz val="9"/>
            <color indexed="81"/>
            <rFont val="Tahoma"/>
            <family val="2"/>
          </rPr>
          <t>Page 125 of PDF, 10-Q</t>
        </r>
      </text>
    </comment>
    <comment ref="G18" authorId="0" shapeId="0" xr:uid="{00000000-0006-0000-2F00-000003000000}">
      <text>
        <r>
          <rPr>
            <sz val="9"/>
            <color indexed="81"/>
            <rFont val="Tahoma"/>
            <family val="2"/>
          </rPr>
          <t>Page 68 of PDF, 10-K</t>
        </r>
      </text>
    </comment>
    <comment ref="H19" authorId="1" shapeId="0" xr:uid="{00000000-0006-0000-2F00-000004000000}">
      <text>
        <r>
          <rPr>
            <sz val="9"/>
            <color indexed="81"/>
            <rFont val="Tahoma"/>
            <family val="2"/>
          </rPr>
          <t>Page 101 of PDF, 10-K</t>
        </r>
      </text>
    </comment>
    <comment ref="G20" authorId="0" shapeId="0" xr:uid="{00000000-0006-0000-2F00-000005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Page 66 of PDF, 10-K</t>
        </r>
      </text>
    </comment>
    <comment ref="G21" authorId="2" shapeId="0" xr:uid="{00000000-0006-0000-2F00-000006000000}">
      <text>
        <r>
          <rPr>
            <b/>
            <sz val="9"/>
            <color indexed="81"/>
            <rFont val="Tahoma"/>
            <family val="2"/>
          </rPr>
          <t>rev3569:</t>
        </r>
        <r>
          <rPr>
            <sz val="9"/>
            <color indexed="81"/>
            <rFont val="Tahoma"/>
            <family val="2"/>
          </rPr>
          <t xml:space="preserve">
Washington State Cap Rate Study
</t>
        </r>
      </text>
    </comment>
    <comment ref="H21" authorId="0" shapeId="0" xr:uid="{00000000-0006-0000-2F00-000007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Pulled from Colorado study (page 9)</t>
        </r>
      </text>
    </comment>
    <comment ref="G22" authorId="2" shapeId="0" xr:uid="{00000000-0006-0000-2F00-000008000000}">
      <text>
        <r>
          <rPr>
            <b/>
            <sz val="9"/>
            <color indexed="81"/>
            <rFont val="Tahoma"/>
            <family val="2"/>
          </rPr>
          <t>rev3569:</t>
        </r>
        <r>
          <rPr>
            <sz val="9"/>
            <color indexed="81"/>
            <rFont val="Tahoma"/>
            <family val="2"/>
          </rPr>
          <t xml:space="preserve">
Washington State Cap Rate Study
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REVT221</author>
    <author>K Reaves</author>
    <author>rev4440</author>
    <author>rev3857</author>
  </authors>
  <commentList>
    <comment ref="H17" authorId="0" shapeId="0" xr:uid="{00000000-0006-0000-3200-000001000000}">
      <text>
        <r>
          <rPr>
            <sz val="9"/>
            <color indexed="81"/>
            <rFont val="Tahoma"/>
            <family val="2"/>
          </rPr>
          <t>Page 166 of PDF, 10-K</t>
        </r>
      </text>
    </comment>
    <comment ref="I17" authorId="1" shapeId="0" xr:uid="{00000000-0006-0000-3200-000002000000}">
      <text>
        <r>
          <rPr>
            <sz val="9"/>
            <color indexed="81"/>
            <rFont val="Tahoma"/>
            <family val="2"/>
          </rPr>
          <t>Page 166 of PDF, 10-K</t>
        </r>
      </text>
    </comment>
    <comment ref="J17" authorId="0" shapeId="0" xr:uid="{00000000-0006-0000-3200-000003000000}">
      <text>
        <r>
          <rPr>
            <sz val="9"/>
            <color indexed="81"/>
            <rFont val="Tahoma"/>
            <family val="2"/>
          </rPr>
          <t>Page 166 of PDF, 10-K</t>
        </r>
      </text>
    </comment>
    <comment ref="H18" authorId="0" shapeId="0" xr:uid="{00000000-0006-0000-3200-000004000000}">
      <text>
        <r>
          <rPr>
            <sz val="9"/>
            <color indexed="81"/>
            <rFont val="Tahoma"/>
            <family val="2"/>
          </rPr>
          <t>Page 171 of PDF, 10-K</t>
        </r>
      </text>
    </comment>
    <comment ref="I18" authorId="0" shapeId="0" xr:uid="{00000000-0006-0000-3200-000005000000}">
      <text>
        <r>
          <rPr>
            <sz val="9"/>
            <color indexed="81"/>
            <rFont val="Tahoma"/>
            <family val="2"/>
          </rPr>
          <t>Page 171 of PDF, 10-K</t>
        </r>
      </text>
    </comment>
    <comment ref="J18" authorId="0" shapeId="0" xr:uid="{00000000-0006-0000-3200-000006000000}">
      <text>
        <r>
          <rPr>
            <sz val="9"/>
            <color indexed="81"/>
            <rFont val="Tahoma"/>
            <family val="2"/>
          </rPr>
          <t>Page 171 of PDF, 10-K</t>
        </r>
      </text>
    </comment>
    <comment ref="H19" authorId="1" shapeId="0" xr:uid="{00000000-0006-0000-3200-000007000000}">
      <text>
        <r>
          <rPr>
            <sz val="9"/>
            <color indexed="81"/>
            <rFont val="Tahoma"/>
            <family val="2"/>
          </rPr>
          <t>Page 130 of PDF, 10-K</t>
        </r>
      </text>
    </comment>
    <comment ref="I19" authorId="2" shapeId="0" xr:uid="{00000000-0006-0000-3200-000008000000}">
      <text>
        <r>
          <rPr>
            <sz val="9"/>
            <color indexed="81"/>
            <rFont val="Tahoma"/>
            <family val="2"/>
          </rPr>
          <t>Page 130 of PDF, 10-K
0.78555 is CAD to USD Conversion on 12/30/20, https://www.exchange-rates.org/Rate/CAD/USD/12-31-2020</t>
        </r>
      </text>
    </comment>
    <comment ref="J19" authorId="2" shapeId="0" xr:uid="{00000000-0006-0000-3200-000009000000}">
      <text>
        <r>
          <rPr>
            <sz val="9"/>
            <color indexed="81"/>
            <rFont val="Tahoma"/>
            <family val="2"/>
          </rPr>
          <t>Page 130 of PDF, 10-K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0.78555 is CAD to USD Conversion on 12/30/20</t>
        </r>
      </text>
    </comment>
    <comment ref="H20" authorId="1" shapeId="0" xr:uid="{00000000-0006-0000-3200-00000A000000}">
      <text>
        <r>
          <rPr>
            <sz val="9"/>
            <color indexed="81"/>
            <rFont val="Tahoma"/>
            <family val="2"/>
          </rPr>
          <t>Page 275 of PDF, 10-K</t>
        </r>
      </text>
    </comment>
    <comment ref="J20" authorId="1" shapeId="0" xr:uid="{00000000-0006-0000-3200-00000B000000}">
      <text>
        <r>
          <rPr>
            <sz val="9"/>
            <color indexed="81"/>
            <rFont val="Tahoma"/>
            <family val="2"/>
          </rPr>
          <t>Page 190 of PDF, 10-K</t>
        </r>
      </text>
    </comment>
    <comment ref="H21" authorId="1" shapeId="0" xr:uid="{00000000-0006-0000-3200-00000C000000}">
      <text>
        <r>
          <rPr>
            <sz val="9"/>
            <color indexed="81"/>
            <rFont val="Tahoma"/>
            <family val="2"/>
          </rPr>
          <t>Page 167 of PDF, 10-K</t>
        </r>
      </text>
    </comment>
    <comment ref="I21" authorId="0" shapeId="0" xr:uid="{00000000-0006-0000-3200-00000D000000}">
      <text>
        <r>
          <rPr>
            <sz val="9"/>
            <color indexed="81"/>
            <rFont val="Tahoma"/>
            <family val="2"/>
          </rPr>
          <t>Page 167 of PDF, 10-K</t>
        </r>
      </text>
    </comment>
    <comment ref="J21" authorId="0" shapeId="0" xr:uid="{00000000-0006-0000-3200-00000E000000}">
      <text>
        <r>
          <rPr>
            <sz val="9"/>
            <color indexed="81"/>
            <rFont val="Tahoma"/>
            <family val="2"/>
          </rPr>
          <t>Page 167 of PDF, 10-K</t>
        </r>
      </text>
    </comment>
    <comment ref="H22" authorId="0" shapeId="0" xr:uid="{00000000-0006-0000-3200-00000F000000}">
      <text>
        <r>
          <rPr>
            <sz val="9"/>
            <color indexed="81"/>
            <rFont val="Tahoma"/>
            <family val="2"/>
          </rPr>
          <t>Page 155 of PDF, 10-K</t>
        </r>
      </text>
    </comment>
    <comment ref="J22" authorId="0" shapeId="0" xr:uid="{00000000-0006-0000-3200-000010000000}">
      <text>
        <r>
          <rPr>
            <sz val="9"/>
            <color indexed="81"/>
            <rFont val="Tahoma"/>
            <family val="2"/>
          </rPr>
          <t xml:space="preserve">Page 155 of PDF, 10-K
</t>
        </r>
      </text>
    </comment>
    <comment ref="H23" authorId="1" shapeId="0" xr:uid="{00000000-0006-0000-3200-000011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Page 135 of PDF, 10-K</t>
        </r>
      </text>
    </comment>
    <comment ref="J23" authorId="1" shapeId="0" xr:uid="{00000000-0006-0000-3200-000012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Page 135 of PDF, 10-K</t>
        </r>
      </text>
    </comment>
    <comment ref="H24" authorId="1" shapeId="0" xr:uid="{00000000-0006-0000-3200-000013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Page 112 of PDF, 10-K</t>
        </r>
      </text>
    </comment>
    <comment ref="J24" authorId="1" shapeId="0" xr:uid="{00000000-0006-0000-3200-000014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Page 112 of PDF, 10-K
</t>
        </r>
      </text>
    </comment>
    <comment ref="H25" authorId="1" shapeId="0" xr:uid="{00000000-0006-0000-3200-000015000000}">
      <text>
        <r>
          <rPr>
            <sz val="9"/>
            <color indexed="81"/>
            <rFont val="Tahoma"/>
            <family val="2"/>
          </rPr>
          <t>Page 164 of PDF, 10-K</t>
        </r>
      </text>
    </comment>
    <comment ref="I25" authorId="0" shapeId="0" xr:uid="{00000000-0006-0000-3200-000016000000}">
      <text>
        <r>
          <rPr>
            <sz val="9"/>
            <color indexed="81"/>
            <rFont val="Tahoma"/>
            <family val="2"/>
          </rPr>
          <t>Page 167 of PDF, 10-K
0.78555 is CAD to USD Conversion on 12/30/20</t>
        </r>
      </text>
    </comment>
    <comment ref="J25" authorId="1" shapeId="0" xr:uid="{00000000-0006-0000-3200-000017000000}">
      <text>
        <r>
          <rPr>
            <sz val="9"/>
            <color indexed="81"/>
            <rFont val="Tahoma"/>
            <family val="2"/>
          </rPr>
          <t>Page 120 of PDF, 10-K
0.78555 is CAD to USD Conversion on 12/30/20</t>
        </r>
      </text>
    </comment>
    <comment ref="H26" authorId="2" shapeId="0" xr:uid="{00000000-0006-0000-3200-000018000000}">
      <text>
        <r>
          <rPr>
            <sz val="9"/>
            <color indexed="81"/>
            <rFont val="Tahoma"/>
            <family val="2"/>
          </rPr>
          <t>Page 104 of PDF, 10-K</t>
        </r>
      </text>
    </comment>
    <comment ref="I26" authorId="2" shapeId="0" xr:uid="{00000000-0006-0000-3200-000019000000}">
      <text>
        <r>
          <rPr>
            <sz val="9"/>
            <color indexed="81"/>
            <rFont val="Tahoma"/>
            <family val="2"/>
          </rPr>
          <t>Page 104 of PDF, 10-K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6" authorId="2" shapeId="0" xr:uid="{00000000-0006-0000-3200-00001A000000}">
      <text>
        <r>
          <rPr>
            <sz val="9"/>
            <color indexed="81"/>
            <rFont val="Tahoma"/>
            <family val="2"/>
          </rPr>
          <t>Page 104 of PDF, 10-K</t>
        </r>
      </text>
    </comment>
    <comment ref="G31" authorId="1" shapeId="0" xr:uid="{00000000-0006-0000-3200-00001B000000}">
      <text>
        <r>
          <rPr>
            <sz val="9"/>
            <color indexed="81"/>
            <rFont val="Tahoma"/>
            <family val="2"/>
          </rPr>
          <t>Long-Term Debt * (Fair Value of Long-term debt)/(Carrying amount of Long-term debt)</t>
        </r>
      </text>
    </comment>
    <comment ref="G35" authorId="0" shapeId="0" xr:uid="{00000000-0006-0000-3200-00001C000000}">
      <text>
        <r>
          <rPr>
            <sz val="9"/>
            <color indexed="81"/>
            <rFont val="Tahoma"/>
            <family val="2"/>
          </rPr>
          <t>Page 205 of PDF, 10-K</t>
        </r>
      </text>
    </comment>
    <comment ref="G36" authorId="0" shapeId="0" xr:uid="{00000000-0006-0000-3200-00001D000000}">
      <text>
        <r>
          <rPr>
            <sz val="9"/>
            <color indexed="81"/>
            <rFont val="Tahoma"/>
            <family val="2"/>
          </rPr>
          <t>Page 221 of PDF, 10-K</t>
        </r>
      </text>
    </comment>
    <comment ref="G37" authorId="3" shapeId="0" xr:uid="{00000000-0006-0000-3200-00001E000000}">
      <text>
        <r>
          <rPr>
            <sz val="9"/>
            <color indexed="81"/>
            <rFont val="Tahoma"/>
            <family val="2"/>
          </rPr>
          <t>Page 206 of PDF, 10-K</t>
        </r>
      </text>
    </comment>
    <comment ref="G38" authorId="0" shapeId="0" xr:uid="{00000000-0006-0000-3200-00001F000000}">
      <text>
        <r>
          <rPr>
            <sz val="9"/>
            <color indexed="81"/>
            <rFont val="Tahoma"/>
            <family val="2"/>
          </rPr>
          <t>Page 299 of PDF, 10-K</t>
        </r>
      </text>
    </comment>
    <comment ref="G39" authorId="0" shapeId="0" xr:uid="{00000000-0006-0000-3200-000020000000}">
      <text>
        <r>
          <rPr>
            <sz val="9"/>
            <color indexed="81"/>
            <rFont val="Tahoma"/>
            <family val="2"/>
          </rPr>
          <t>Page 243 of PDF, 10-K</t>
        </r>
      </text>
    </comment>
    <comment ref="G40" authorId="0" shapeId="0" xr:uid="{00000000-0006-0000-3200-000021000000}">
      <text>
        <r>
          <rPr>
            <sz val="9"/>
            <color indexed="81"/>
            <rFont val="Tahoma"/>
            <family val="2"/>
          </rPr>
          <t>Page 230 of PDF, 10-K</t>
        </r>
      </text>
    </comment>
    <comment ref="G41" authorId="0" shapeId="0" xr:uid="{00000000-0006-0000-3200-000022000000}">
      <text>
        <r>
          <rPr>
            <sz val="9"/>
            <color indexed="81"/>
            <rFont val="Tahoma"/>
            <family val="2"/>
          </rPr>
          <t>Page 181 of PDF, 10-K</t>
        </r>
      </text>
    </comment>
    <comment ref="G42" authorId="0" shapeId="0" xr:uid="{00000000-0006-0000-3200-000023000000}">
      <text>
        <r>
          <rPr>
            <sz val="9"/>
            <color indexed="81"/>
            <rFont val="Tahoma"/>
            <family val="2"/>
          </rPr>
          <t>Page 136 of PDF, 10-K</t>
        </r>
      </text>
    </comment>
    <comment ref="G43" authorId="1" shapeId="0" xr:uid="{00000000-0006-0000-3200-000024000000}">
      <text>
        <r>
          <rPr>
            <sz val="9"/>
            <color indexed="81"/>
            <rFont val="Tahoma"/>
            <family val="2"/>
          </rPr>
          <t>Page 179 of PDF, 10-K</t>
        </r>
      </text>
    </comment>
    <comment ref="G44" authorId="1" shapeId="0" xr:uid="{00000000-0006-0000-3200-000025000000}">
      <text>
        <r>
          <rPr>
            <sz val="9"/>
            <color indexed="81"/>
            <rFont val="Tahoma"/>
            <family val="2"/>
          </rPr>
          <t>Page 182 of PDF, 10-K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  <author>Baker, Mike A (DOR)</author>
    <author>rev3569</author>
  </authors>
  <commentList>
    <comment ref="E11" authorId="0" shapeId="0" xr:uid="{00000000-0006-0000-3300-000001000000}">
      <text>
        <r>
          <rPr>
            <sz val="9"/>
            <color indexed="81"/>
            <rFont val="Tahoma"/>
            <family val="2"/>
          </rPr>
          <t>NMF on VL</t>
        </r>
      </text>
    </comment>
    <comment ref="H11" authorId="1" shapeId="0" xr:uid="{00000000-0006-0000-3300-000002000000}">
      <text>
        <r>
          <rPr>
            <b/>
            <sz val="9"/>
            <color indexed="81"/>
            <rFont val="Tahoma"/>
            <family val="2"/>
          </rPr>
          <t>Baker, Mike A (DOR):</t>
        </r>
        <r>
          <rPr>
            <sz val="9"/>
            <color indexed="81"/>
            <rFont val="Tahoma"/>
            <family val="2"/>
          </rPr>
          <t xml:space="preserve">
Oregon &amp; Montana &amp; Utah Moodys rating Ba2</t>
        </r>
      </text>
    </comment>
    <comment ref="H12" authorId="0" shapeId="0" xr:uid="{00000000-0006-0000-3300-000003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Found on Utah study</t>
        </r>
      </text>
    </comment>
    <comment ref="E14" authorId="0" shapeId="0" xr:uid="{00000000-0006-0000-3300-000004000000}">
      <text>
        <r>
          <rPr>
            <sz val="9"/>
            <color indexed="81"/>
            <rFont val="Tahoma"/>
            <family val="2"/>
          </rPr>
          <t>Nil on VL</t>
        </r>
      </text>
    </comment>
    <comment ref="E17" authorId="0" shapeId="0" xr:uid="{00000000-0006-0000-3300-000005000000}">
      <text>
        <r>
          <rPr>
            <sz val="9"/>
            <color indexed="81"/>
            <rFont val="Tahoma"/>
            <family val="2"/>
          </rPr>
          <t xml:space="preserve">
NMF on VL
</t>
        </r>
      </text>
    </comment>
    <comment ref="G19" authorId="2" shapeId="0" xr:uid="{00000000-0006-0000-3300-000006000000}">
      <text>
        <r>
          <rPr>
            <b/>
            <sz val="9"/>
            <color indexed="81"/>
            <rFont val="Tahoma"/>
            <family val="2"/>
          </rPr>
          <t>rev3569:</t>
        </r>
        <r>
          <rPr>
            <sz val="9"/>
            <color indexed="81"/>
            <rFont val="Tahoma"/>
            <family val="2"/>
          </rPr>
          <t xml:space="preserve">
Washhington State Cap Rate Study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REVT221</author>
    <author>K Reaves</author>
    <author>rev4440</author>
  </authors>
  <commentList>
    <comment ref="H15" authorId="0" shapeId="0" xr:uid="{00000000-0006-0000-3600-000001000000}">
      <text>
        <r>
          <rPr>
            <sz val="9"/>
            <color indexed="81"/>
            <rFont val="Tahoma"/>
            <family val="2"/>
          </rPr>
          <t>Page 166 of PDF, 10-K</t>
        </r>
      </text>
    </comment>
    <comment ref="I15" authorId="1" shapeId="0" xr:uid="{00000000-0006-0000-3600-000002000000}">
      <text>
        <r>
          <rPr>
            <sz val="9"/>
            <color indexed="81"/>
            <rFont val="Tahoma"/>
            <family val="2"/>
          </rPr>
          <t>Page 166 of PDF, 10-K</t>
        </r>
      </text>
    </comment>
    <comment ref="J15" authorId="0" shapeId="0" xr:uid="{00000000-0006-0000-3600-000003000000}">
      <text>
        <r>
          <rPr>
            <sz val="9"/>
            <color indexed="81"/>
            <rFont val="Tahoma"/>
            <family val="2"/>
          </rPr>
          <t>Page 166 of PDF, 10-K</t>
        </r>
      </text>
    </comment>
    <comment ref="H16" authorId="0" shapeId="0" xr:uid="{00000000-0006-0000-3600-000004000000}">
      <text>
        <r>
          <rPr>
            <sz val="9"/>
            <color indexed="81"/>
            <rFont val="Tahoma"/>
            <family val="2"/>
          </rPr>
          <t>Page 171 of PDF, 10-K</t>
        </r>
      </text>
    </comment>
    <comment ref="I16" authorId="0" shapeId="0" xr:uid="{00000000-0006-0000-3600-000005000000}">
      <text>
        <r>
          <rPr>
            <sz val="9"/>
            <color indexed="81"/>
            <rFont val="Tahoma"/>
            <family val="2"/>
          </rPr>
          <t>Page 171 of PDF, 10-K</t>
        </r>
      </text>
    </comment>
    <comment ref="J16" authorId="0" shapeId="0" xr:uid="{00000000-0006-0000-3600-000006000000}">
      <text>
        <r>
          <rPr>
            <sz val="9"/>
            <color indexed="81"/>
            <rFont val="Tahoma"/>
            <family val="2"/>
          </rPr>
          <t>Page 171 of PDF, 10-K</t>
        </r>
      </text>
    </comment>
    <comment ref="H17" authorId="1" shapeId="0" xr:uid="{00000000-0006-0000-3600-000007000000}">
      <text>
        <r>
          <rPr>
            <sz val="9"/>
            <color indexed="81"/>
            <rFont val="Tahoma"/>
            <family val="2"/>
          </rPr>
          <t>Page 275 of PDF, 10-K</t>
        </r>
      </text>
    </comment>
    <comment ref="J17" authorId="1" shapeId="0" xr:uid="{00000000-0006-0000-3600-000008000000}">
      <text>
        <r>
          <rPr>
            <sz val="9"/>
            <color indexed="81"/>
            <rFont val="Tahoma"/>
            <family val="2"/>
          </rPr>
          <t>Page 190 of PDF, 10-K</t>
        </r>
      </text>
    </comment>
    <comment ref="H18" authorId="0" shapeId="0" xr:uid="{00000000-0006-0000-3600-000009000000}">
      <text>
        <r>
          <rPr>
            <sz val="9"/>
            <color indexed="81"/>
            <rFont val="Tahoma"/>
            <family val="2"/>
          </rPr>
          <t>Page 155 of PDF, 10-K</t>
        </r>
      </text>
    </comment>
    <comment ref="J18" authorId="0" shapeId="0" xr:uid="{00000000-0006-0000-3600-00000A000000}">
      <text>
        <r>
          <rPr>
            <sz val="9"/>
            <color indexed="81"/>
            <rFont val="Tahoma"/>
            <family val="2"/>
          </rPr>
          <t>Page 155 of PDF, 10-K</t>
        </r>
      </text>
    </comment>
    <comment ref="H19" authorId="0" shapeId="0" xr:uid="{00000000-0006-0000-3600-00000B000000}">
      <text>
        <r>
          <rPr>
            <sz val="9"/>
            <color indexed="81"/>
            <rFont val="Tahoma"/>
            <family val="2"/>
          </rPr>
          <t>Page 119 of PDF, 10-K</t>
        </r>
      </text>
    </comment>
    <comment ref="I19" authorId="2" shapeId="0" xr:uid="{00000000-0006-0000-3600-00000C000000}">
      <text>
        <r>
          <rPr>
            <sz val="9"/>
            <color indexed="81"/>
            <rFont val="Tahoma"/>
            <family val="2"/>
          </rPr>
          <t>Page 119 of PDF, 10-K</t>
        </r>
      </text>
    </comment>
    <comment ref="J19" authorId="0" shapeId="0" xr:uid="{00000000-0006-0000-3600-00000D000000}">
      <text>
        <r>
          <rPr>
            <sz val="9"/>
            <color indexed="81"/>
            <rFont val="Tahoma"/>
            <family val="2"/>
          </rPr>
          <t>Page 119 of PDF, 10-K</t>
        </r>
      </text>
    </comment>
    <comment ref="H20" authorId="2" shapeId="0" xr:uid="{00000000-0006-0000-3600-00000E000000}">
      <text>
        <r>
          <rPr>
            <sz val="9"/>
            <color indexed="81"/>
            <rFont val="Tahoma"/>
            <family val="2"/>
          </rPr>
          <t>Page 75 of PDF, 10-K</t>
        </r>
      </text>
    </comment>
    <comment ref="J20" authorId="0" shapeId="0" xr:uid="{00000000-0006-0000-3600-00000F000000}">
      <text>
        <r>
          <rPr>
            <sz val="9"/>
            <color indexed="81"/>
            <rFont val="Tahoma"/>
            <family val="2"/>
          </rPr>
          <t>Page 75 of PDF, 10-K</t>
        </r>
      </text>
    </comment>
    <comment ref="H21" authorId="2" shapeId="0" xr:uid="{00000000-0006-0000-3600-000010000000}">
      <text>
        <r>
          <rPr>
            <sz val="9"/>
            <color indexed="81"/>
            <rFont val="Tahoma"/>
            <family val="2"/>
          </rPr>
          <t>Page 93 of PDF, 10-K</t>
        </r>
      </text>
    </comment>
    <comment ref="I21" authorId="2" shapeId="0" xr:uid="{00000000-0006-0000-3600-000011000000}">
      <text>
        <r>
          <rPr>
            <sz val="9"/>
            <color indexed="81"/>
            <rFont val="Tahoma"/>
            <family val="2"/>
          </rPr>
          <t>Page 70 of PDF, 10-K</t>
        </r>
      </text>
    </comment>
    <comment ref="J21" authorId="2" shapeId="0" xr:uid="{00000000-0006-0000-3600-000012000000}">
      <text>
        <r>
          <rPr>
            <sz val="9"/>
            <color indexed="81"/>
            <rFont val="Tahoma"/>
            <family val="2"/>
          </rPr>
          <t>Page 70 of PDF, 10-K</t>
        </r>
      </text>
    </comment>
    <comment ref="H22" authorId="2" shapeId="0" xr:uid="{00000000-0006-0000-3600-000013000000}">
      <text>
        <r>
          <rPr>
            <sz val="9"/>
            <color indexed="81"/>
            <rFont val="Tahoma"/>
            <family val="2"/>
          </rPr>
          <t>Page 93 of PDF, 10-K</t>
        </r>
      </text>
    </comment>
    <comment ref="I22" authorId="2" shapeId="0" xr:uid="{00000000-0006-0000-3600-000014000000}">
      <text>
        <r>
          <rPr>
            <sz val="9"/>
            <color indexed="81"/>
            <rFont val="Tahoma"/>
            <family val="2"/>
          </rPr>
          <t>Page 93 of PDF, 10-K</t>
        </r>
      </text>
    </comment>
    <comment ref="J22" authorId="2" shapeId="0" xr:uid="{00000000-0006-0000-3600-000015000000}">
      <text>
        <r>
          <rPr>
            <sz val="9"/>
            <color indexed="81"/>
            <rFont val="Tahoma"/>
            <family val="2"/>
          </rPr>
          <t>Page 96 of PDF, 10-K</t>
        </r>
      </text>
    </comment>
    <comment ref="H23" authorId="2" shapeId="0" xr:uid="{00000000-0006-0000-3600-000016000000}">
      <text>
        <r>
          <rPr>
            <sz val="9"/>
            <color indexed="81"/>
            <rFont val="Tahoma"/>
            <family val="2"/>
          </rPr>
          <t>Page 84 of PDF, 10-K</t>
        </r>
      </text>
    </comment>
    <comment ref="I23" authorId="2" shapeId="0" xr:uid="{00000000-0006-0000-3600-000017000000}">
      <text>
        <r>
          <rPr>
            <sz val="9"/>
            <color indexed="81"/>
            <rFont val="Tahoma"/>
            <family val="2"/>
          </rPr>
          <t>Page 84 of PDF, 10-K</t>
        </r>
      </text>
    </comment>
    <comment ref="J23" authorId="2" shapeId="0" xr:uid="{00000000-0006-0000-3600-000018000000}">
      <text>
        <r>
          <rPr>
            <sz val="9"/>
            <color indexed="81"/>
            <rFont val="Tahoma"/>
            <family val="2"/>
          </rPr>
          <t>Page 84 of PDF, 10-K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H24" authorId="2" shapeId="0" xr:uid="{00000000-0006-0000-3600-000019000000}">
      <text>
        <r>
          <rPr>
            <sz val="9"/>
            <color indexed="81"/>
            <rFont val="Tahoma"/>
            <family val="2"/>
          </rPr>
          <t>Page 190 of PDF, 10-K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I24" authorId="2" shapeId="0" xr:uid="{00000000-0006-0000-3600-00001A000000}">
      <text>
        <r>
          <rPr>
            <sz val="9"/>
            <color indexed="81"/>
            <rFont val="Tahoma"/>
            <family val="2"/>
          </rPr>
          <t>Page 190 of PDF, 10-K</t>
        </r>
      </text>
    </comment>
    <comment ref="J24" authorId="2" shapeId="0" xr:uid="{00000000-0006-0000-3600-00001B000000}">
      <text>
        <r>
          <rPr>
            <sz val="9"/>
            <color indexed="81"/>
            <rFont val="Tahoma"/>
            <family val="2"/>
          </rPr>
          <t>Page 190 of PDF, 10-K</t>
        </r>
      </text>
    </comment>
    <comment ref="F31" authorId="0" shapeId="0" xr:uid="{00000000-0006-0000-3600-00001C000000}">
      <text>
        <r>
          <rPr>
            <sz val="9"/>
            <color indexed="81"/>
            <rFont val="Tahoma"/>
            <family val="2"/>
          </rPr>
          <t>Page 205 of PDF, 10-K</t>
        </r>
      </text>
    </comment>
    <comment ref="E32" authorId="0" shapeId="0" xr:uid="{00000000-0006-0000-3600-00001D000000}">
      <text>
        <r>
          <rPr>
            <b/>
            <sz val="9"/>
            <color indexed="81"/>
            <rFont val="Tahoma"/>
            <family val="2"/>
          </rPr>
          <t>REVT221:</t>
        </r>
        <r>
          <rPr>
            <sz val="9"/>
            <color indexed="81"/>
            <rFont val="Tahoma"/>
            <family val="2"/>
          </rPr>
          <t xml:space="preserve">
See 10K page 104</t>
        </r>
      </text>
    </comment>
    <comment ref="F32" authorId="0" shapeId="0" xr:uid="{00000000-0006-0000-3600-00001E000000}">
      <text>
        <r>
          <rPr>
            <sz val="9"/>
            <color indexed="81"/>
            <rFont val="Tahoma"/>
            <family val="2"/>
          </rPr>
          <t>Page 221 of PDF, 10-K</t>
        </r>
      </text>
    </comment>
    <comment ref="F33" authorId="0" shapeId="0" xr:uid="{00000000-0006-0000-3600-00001F000000}">
      <text>
        <r>
          <rPr>
            <sz val="9"/>
            <color indexed="81"/>
            <rFont val="Tahoma"/>
            <family val="2"/>
          </rPr>
          <t>Page 299 of PDF, 10-K</t>
        </r>
      </text>
    </comment>
    <comment ref="F34" authorId="0" shapeId="0" xr:uid="{00000000-0006-0000-3600-000020000000}">
      <text>
        <r>
          <rPr>
            <sz val="9"/>
            <color indexed="81"/>
            <rFont val="Tahoma"/>
            <family val="2"/>
          </rPr>
          <t>Page 230 of PDF, 10-K</t>
        </r>
      </text>
    </comment>
    <comment ref="F35" authorId="0" shapeId="0" xr:uid="{00000000-0006-0000-3600-000021000000}">
      <text>
        <r>
          <rPr>
            <sz val="9"/>
            <color indexed="81"/>
            <rFont val="Tahoma"/>
            <family val="2"/>
          </rPr>
          <t>Page 148 of PDF, 10-K</t>
        </r>
      </text>
    </comment>
    <comment ref="F36" authorId="0" shapeId="0" xr:uid="{00000000-0006-0000-3600-000022000000}">
      <text>
        <r>
          <rPr>
            <b/>
            <sz val="9"/>
            <color indexed="81"/>
            <rFont val="Tahoma"/>
            <family val="2"/>
          </rPr>
          <t>REVT221:</t>
        </r>
        <r>
          <rPr>
            <sz val="9"/>
            <color indexed="81"/>
            <rFont val="Tahoma"/>
            <family val="2"/>
          </rPr>
          <t xml:space="preserve">
See 10K page 107</t>
        </r>
      </text>
    </comment>
    <comment ref="F37" authorId="0" shapeId="0" xr:uid="{00000000-0006-0000-3600-000023000000}">
      <text>
        <r>
          <rPr>
            <b/>
            <sz val="9"/>
            <color indexed="81"/>
            <rFont val="Tahoma"/>
            <family val="2"/>
          </rPr>
          <t>REVT221:</t>
        </r>
        <r>
          <rPr>
            <sz val="9"/>
            <color indexed="81"/>
            <rFont val="Tahoma"/>
            <family val="2"/>
          </rPr>
          <t xml:space="preserve">
See 10K page 153 &amp; 151</t>
        </r>
      </text>
    </comment>
    <comment ref="F38" authorId="0" shapeId="0" xr:uid="{00000000-0006-0000-3600-000024000000}">
      <text>
        <r>
          <rPr>
            <sz val="9"/>
            <color indexed="81"/>
            <rFont val="Tahoma"/>
            <family val="2"/>
          </rPr>
          <t xml:space="preserve">Page 143 of PDF, 10-K
</t>
        </r>
      </text>
    </comment>
    <comment ref="F39" authorId="2" shapeId="0" xr:uid="{00000000-0006-0000-3600-000025000000}">
      <text>
        <r>
          <rPr>
            <sz val="9"/>
            <color indexed="81"/>
            <rFont val="Tahoma"/>
            <family val="2"/>
          </rPr>
          <t>Page 113 of PDF, 10-K</t>
        </r>
      </text>
    </comment>
    <comment ref="F40" authorId="0" shapeId="0" xr:uid="{00000000-0006-0000-3600-000026000000}">
      <text>
        <r>
          <rPr>
            <sz val="9"/>
            <color indexed="81"/>
            <rFont val="Tahoma"/>
            <family val="2"/>
          </rPr>
          <t>Page 230 of PDF, 10-K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  <author>REVT221</author>
  </authors>
  <commentList>
    <comment ref="E11" authorId="0" shapeId="0" xr:uid="{00000000-0006-0000-3700-000001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NMF on VL</t>
        </r>
      </text>
    </comment>
    <comment ref="H12" authorId="0" shapeId="0" xr:uid="{00000000-0006-0000-3700-000002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Found on Utah study</t>
        </r>
      </text>
    </comment>
    <comment ref="E13" authorId="0" shapeId="0" xr:uid="{00000000-0006-0000-3700-000003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Nil on VL</t>
        </r>
      </text>
    </comment>
    <comment ref="G14" authorId="0" shapeId="0" xr:uid="{00000000-0006-0000-3700-000004000000}">
      <text>
        <r>
          <rPr>
            <sz val="9"/>
            <color indexed="81"/>
            <rFont val="Tahoma"/>
            <family val="2"/>
          </rPr>
          <t>Page 71 of PDF, 10-K</t>
        </r>
      </text>
    </comment>
    <comment ref="G17" authorId="0" shapeId="0" xr:uid="{00000000-0006-0000-3700-000005000000}">
      <text>
        <r>
          <rPr>
            <sz val="9"/>
            <color indexed="81"/>
            <rFont val="Tahoma"/>
            <family val="2"/>
          </rPr>
          <t>Page 92 of PDF, 10-K</t>
        </r>
      </text>
    </comment>
    <comment ref="E18" authorId="0" shapeId="0" xr:uid="{00000000-0006-0000-3700-000006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Nil on VL</t>
        </r>
      </text>
    </comment>
    <comment ref="H18" authorId="1" shapeId="0" xr:uid="{00000000-0006-0000-3700-000007000000}">
      <text>
        <r>
          <rPr>
            <sz val="9"/>
            <color indexed="81"/>
            <rFont val="Tahoma"/>
            <family val="2"/>
          </rPr>
          <t xml:space="preserve">Page 36 of PDF, 10-K
</t>
        </r>
      </text>
    </comment>
    <comment ref="E19" authorId="0" shapeId="0" xr:uid="{00000000-0006-0000-3700-000008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Nil on VL</t>
        </r>
      </text>
    </comment>
    <comment ref="E20" authorId="0" shapeId="0" xr:uid="{00000000-0006-0000-3700-000009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NMF on VL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rev4440</author>
    <author>REVT221</author>
    <author>rev3857</author>
  </authors>
  <commentList>
    <comment ref="H17" authorId="0" shapeId="0" xr:uid="{00000000-0006-0000-3A00-000001000000}">
      <text>
        <r>
          <rPr>
            <sz val="9"/>
            <color indexed="81"/>
            <rFont val="Tahoma"/>
            <family val="2"/>
          </rPr>
          <t>Page 98 of PDF, 10-K</t>
        </r>
      </text>
    </comment>
    <comment ref="J17" authorId="0" shapeId="0" xr:uid="{00000000-0006-0000-3A00-000002000000}">
      <text>
        <r>
          <rPr>
            <sz val="9"/>
            <color indexed="81"/>
            <rFont val="Tahoma"/>
            <family val="2"/>
          </rPr>
          <t>Page 98 of PDF, 10-K</t>
        </r>
      </text>
    </comment>
    <comment ref="H18" authorId="0" shapeId="0" xr:uid="{00000000-0006-0000-3A00-000003000000}">
      <text>
        <r>
          <rPr>
            <sz val="9"/>
            <color indexed="81"/>
            <rFont val="Tahoma"/>
            <family val="2"/>
          </rPr>
          <t>Page 133 of PDF, 10-K</t>
        </r>
      </text>
    </comment>
    <comment ref="J18" authorId="0" shapeId="0" xr:uid="{00000000-0006-0000-3A00-000004000000}">
      <text>
        <r>
          <rPr>
            <sz val="9"/>
            <color indexed="81"/>
            <rFont val="Tahoma"/>
            <family val="2"/>
          </rPr>
          <t>Page 133 of PDF, 10-K</t>
        </r>
      </text>
    </comment>
    <comment ref="H19" authorId="0" shapeId="0" xr:uid="{00000000-0006-0000-3A00-000005000000}">
      <text>
        <r>
          <rPr>
            <sz val="9"/>
            <color indexed="81"/>
            <rFont val="Tahoma"/>
            <family val="2"/>
          </rPr>
          <t>Page 90 of PDF, 10-K</t>
        </r>
      </text>
    </comment>
    <comment ref="J19" authorId="0" shapeId="0" xr:uid="{00000000-0006-0000-3A00-000006000000}">
      <text>
        <r>
          <rPr>
            <sz val="9"/>
            <color indexed="81"/>
            <rFont val="Tahoma"/>
            <family val="2"/>
          </rPr>
          <t>Page 90 of PDF, 10-K</t>
        </r>
      </text>
    </comment>
    <comment ref="H20" authorId="1" shapeId="0" xr:uid="{00000000-0006-0000-3A00-000007000000}">
      <text>
        <r>
          <rPr>
            <sz val="9"/>
            <color indexed="81"/>
            <rFont val="Tahoma"/>
            <family val="2"/>
          </rPr>
          <t>Page 71 of PDF, 10-K</t>
        </r>
      </text>
    </comment>
    <comment ref="J20" authorId="1" shapeId="0" xr:uid="{00000000-0006-0000-3A00-000008000000}">
      <text>
        <r>
          <rPr>
            <sz val="9"/>
            <color indexed="81"/>
            <rFont val="Tahoma"/>
            <family val="2"/>
          </rPr>
          <t>Page 71 of PDF, 10-K</t>
        </r>
      </text>
    </comment>
    <comment ref="H21" authorId="0" shapeId="0" xr:uid="{00000000-0006-0000-3A00-000009000000}">
      <text>
        <r>
          <rPr>
            <sz val="9"/>
            <color indexed="81"/>
            <rFont val="Tahoma"/>
            <family val="2"/>
          </rPr>
          <t>Page 48 of PDF, 10-K</t>
        </r>
      </text>
    </comment>
    <comment ref="I21" authorId="0" shapeId="0" xr:uid="{00000000-0006-0000-3A00-00000A000000}">
      <text>
        <r>
          <rPr>
            <sz val="9"/>
            <color indexed="81"/>
            <rFont val="Tahoma"/>
            <family val="2"/>
          </rPr>
          <t xml:space="preserve">Page 48 of PDF, 10-K
</t>
        </r>
      </text>
    </comment>
    <comment ref="J21" authorId="0" shapeId="0" xr:uid="{00000000-0006-0000-3A00-00000B000000}">
      <text>
        <r>
          <rPr>
            <sz val="9"/>
            <color indexed="81"/>
            <rFont val="Tahoma"/>
            <family val="2"/>
          </rPr>
          <t>Page 49 of PDF, 10-K</t>
        </r>
      </text>
    </comment>
    <comment ref="H22" authorId="0" shapeId="0" xr:uid="{00000000-0006-0000-3A00-00000C000000}">
      <text>
        <r>
          <rPr>
            <sz val="9"/>
            <color indexed="81"/>
            <rFont val="Tahoma"/>
            <family val="2"/>
          </rPr>
          <t>Page 94 of PDF, 10-K</t>
        </r>
      </text>
    </comment>
    <comment ref="J22" authorId="0" shapeId="0" xr:uid="{00000000-0006-0000-3A00-00000D000000}">
      <text>
        <r>
          <rPr>
            <sz val="9"/>
            <color indexed="81"/>
            <rFont val="Tahoma"/>
            <family val="2"/>
          </rPr>
          <t>Page 94 of PDF, 10-K</t>
        </r>
      </text>
    </comment>
    <comment ref="H23" authorId="0" shapeId="0" xr:uid="{00000000-0006-0000-3A00-00000E000000}">
      <text>
        <r>
          <rPr>
            <sz val="9"/>
            <color indexed="81"/>
            <rFont val="Tahoma"/>
            <family val="2"/>
          </rPr>
          <t>Page 24 of PDF, 10-K</t>
        </r>
      </text>
    </comment>
    <comment ref="J23" authorId="0" shapeId="0" xr:uid="{00000000-0006-0000-3A00-00000F000000}">
      <text>
        <r>
          <rPr>
            <sz val="9"/>
            <color indexed="81"/>
            <rFont val="Tahoma"/>
            <family val="2"/>
          </rPr>
          <t>Page 24 of PDF, 10-K</t>
        </r>
      </text>
    </comment>
    <comment ref="F35" authorId="2" shapeId="0" xr:uid="{00000000-0006-0000-3A00-000010000000}">
      <text>
        <r>
          <rPr>
            <sz val="9"/>
            <color indexed="81"/>
            <rFont val="Tahoma"/>
            <family val="2"/>
          </rPr>
          <t>Page 115 of PDF, 10-K</t>
        </r>
      </text>
    </comment>
    <comment ref="F36" authorId="2" shapeId="0" xr:uid="{00000000-0006-0000-3A00-000011000000}">
      <text>
        <r>
          <rPr>
            <sz val="9"/>
            <color indexed="81"/>
            <rFont val="Tahoma"/>
            <family val="2"/>
          </rPr>
          <t>Page 199 of PDF, 10-K</t>
        </r>
      </text>
    </comment>
    <comment ref="F37" authorId="2" shapeId="0" xr:uid="{00000000-0006-0000-3A00-000012000000}">
      <text>
        <r>
          <rPr>
            <sz val="9"/>
            <color indexed="81"/>
            <rFont val="Tahoma"/>
            <family val="2"/>
          </rPr>
          <t>Page 140 of PDF, 10-K</t>
        </r>
      </text>
    </comment>
    <comment ref="F38" authorId="2" shapeId="0" xr:uid="{00000000-0006-0000-3A00-000013000000}">
      <text>
        <r>
          <rPr>
            <sz val="9"/>
            <color indexed="81"/>
            <rFont val="Tahoma"/>
            <family val="2"/>
          </rPr>
          <t>Page 105 of PDF, 10-K</t>
        </r>
      </text>
    </comment>
    <comment ref="F39" authorId="2" shapeId="0" xr:uid="{00000000-0006-0000-3A00-000014000000}">
      <text>
        <r>
          <rPr>
            <sz val="9"/>
            <color indexed="81"/>
            <rFont val="Tahoma"/>
            <family val="2"/>
          </rPr>
          <t>Page 65 of PDF, 10-K</t>
        </r>
      </text>
    </comment>
    <comment ref="F40" authorId="2" shapeId="0" xr:uid="{00000000-0006-0000-3A00-000015000000}">
      <text>
        <r>
          <rPr>
            <sz val="9"/>
            <color indexed="81"/>
            <rFont val="Tahoma"/>
            <family val="2"/>
          </rPr>
          <t>Page 127 of PDF, 10-K</t>
        </r>
      </text>
    </comment>
    <comment ref="F41" authorId="2" shapeId="0" xr:uid="{00000000-0006-0000-3A00-000016000000}">
      <text>
        <r>
          <rPr>
            <sz val="9"/>
            <color indexed="81"/>
            <rFont val="Tahoma"/>
            <family val="2"/>
          </rPr>
          <t>Page 41 of PDF, 10-K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REVT221</author>
    <author>rev3569</author>
    <author>K Reaves</author>
  </authors>
  <commentList>
    <comment ref="H12" authorId="0" shapeId="0" xr:uid="{00000000-0006-0000-3B00-000001000000}">
      <text>
        <r>
          <rPr>
            <sz val="9"/>
            <color indexed="81"/>
            <rFont val="Tahoma"/>
            <family val="2"/>
          </rPr>
          <t>Page 68 of PDF, 10-K</t>
        </r>
      </text>
    </comment>
    <comment ref="H13" authorId="0" shapeId="0" xr:uid="{00000000-0006-0000-3B00-000002000000}">
      <text>
        <r>
          <rPr>
            <sz val="9"/>
            <color indexed="81"/>
            <rFont val="Tahoma"/>
            <family val="2"/>
          </rPr>
          <t>Page 116 of PDF, 10-K</t>
        </r>
      </text>
    </comment>
    <comment ref="G14" authorId="1" shapeId="0" xr:uid="{00000000-0006-0000-3B00-000003000000}">
      <text>
        <r>
          <rPr>
            <b/>
            <sz val="9"/>
            <color indexed="81"/>
            <rFont val="Tahoma"/>
            <family val="2"/>
          </rPr>
          <t>rev3569:</t>
        </r>
        <r>
          <rPr>
            <sz val="9"/>
            <color indexed="81"/>
            <rFont val="Tahoma"/>
            <family val="2"/>
          </rPr>
          <t xml:space="preserve">
2020 10-k and Proxy Statement on co. website</t>
        </r>
      </text>
    </comment>
    <comment ref="G16" authorId="1" shapeId="0" xr:uid="{00000000-0006-0000-3B00-000004000000}">
      <text>
        <r>
          <rPr>
            <b/>
            <sz val="9"/>
            <color indexed="81"/>
            <rFont val="Tahoma"/>
            <family val="2"/>
          </rPr>
          <t>rev3569:</t>
        </r>
        <r>
          <rPr>
            <sz val="9"/>
            <color indexed="81"/>
            <rFont val="Tahoma"/>
            <family val="2"/>
          </rPr>
          <t xml:space="preserve">
corporate website
</t>
        </r>
      </text>
    </comment>
    <comment ref="H17" authorId="0" shapeId="0" xr:uid="{00000000-0006-0000-3B00-000005000000}">
      <text>
        <r>
          <rPr>
            <b/>
            <sz val="9"/>
            <color indexed="81"/>
            <rFont val="Tahoma"/>
            <family val="2"/>
          </rPr>
          <t>REVT221:</t>
        </r>
        <r>
          <rPr>
            <sz val="9"/>
            <color indexed="81"/>
            <rFont val="Tahoma"/>
            <family val="2"/>
          </rPr>
          <t xml:space="preserve">
See 10K page 41
</t>
        </r>
      </text>
    </comment>
    <comment ref="G18" authorId="2" shapeId="0" xr:uid="{00000000-0006-0000-3B00-000006000000}">
      <text>
        <r>
          <rPr>
            <sz val="9"/>
            <color indexed="81"/>
            <rFont val="Tahoma"/>
            <family val="2"/>
          </rPr>
          <t>Page 18 from PDF, 10-K
Pulled Mergent Bond rate from corresponding table in Cost of Debt study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</authors>
  <commentList>
    <comment ref="D16" authorId="0" shapeId="0" xr:uid="{00000000-0006-0000-0400-000001000000}">
      <text>
        <r>
          <rPr>
            <sz val="9"/>
            <color indexed="81"/>
            <rFont val="Tahoma"/>
            <family val="2"/>
          </rPr>
          <t>Pulled from Washington State's Freight Airlines report</t>
        </r>
      </text>
    </comment>
    <comment ref="G16" authorId="0" shapeId="0" xr:uid="{00000000-0006-0000-0400-000002000000}">
      <text>
        <r>
          <rPr>
            <sz val="9"/>
            <color indexed="81"/>
            <rFont val="Tahoma"/>
            <family val="2"/>
          </rPr>
          <t>VL page obtained from Montana</t>
        </r>
      </text>
    </comment>
    <comment ref="D29" authorId="0" shapeId="0" xr:uid="{00000000-0006-0000-0400-000003000000}">
      <text>
        <r>
          <rPr>
            <sz val="9"/>
            <color indexed="81"/>
            <rFont val="Tahoma"/>
            <family val="2"/>
          </rPr>
          <t>Pulled from Washington State's Freight Airlines report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rev4440</author>
    <author>REVT221</author>
    <author>K Reaves</author>
    <author>rev3857</author>
    <author>rev3569</author>
  </authors>
  <commentList>
    <comment ref="H18" authorId="0" shapeId="0" xr:uid="{00000000-0006-0000-3E00-000001000000}">
      <text>
        <r>
          <rPr>
            <sz val="9"/>
            <color indexed="81"/>
            <rFont val="Tahoma"/>
            <family val="2"/>
          </rPr>
          <t>Page 7 of Full Year Statement</t>
        </r>
      </text>
    </comment>
    <comment ref="J18" authorId="1" shapeId="0" xr:uid="{00000000-0006-0000-3E00-000002000000}">
      <text>
        <r>
          <rPr>
            <sz val="9"/>
            <color indexed="81"/>
            <rFont val="Tahoma"/>
            <family val="2"/>
          </rPr>
          <t>Page 6 of Full Year Statement, 0.78555 is CAD -&gt; USD</t>
        </r>
      </text>
    </comment>
    <comment ref="H19" authorId="2" shapeId="0" xr:uid="{00000000-0006-0000-3E00-000003000000}">
      <text>
        <r>
          <rPr>
            <sz val="9"/>
            <color indexed="81"/>
            <rFont val="Tahoma"/>
            <family val="2"/>
          </rPr>
          <t>Page 105 of PDF, Annual Report</t>
        </r>
      </text>
    </comment>
    <comment ref="J19" authorId="1" shapeId="0" xr:uid="{00000000-0006-0000-3E00-000004000000}">
      <text>
        <r>
          <rPr>
            <sz val="9"/>
            <color indexed="81"/>
            <rFont val="Tahoma"/>
            <family val="2"/>
          </rPr>
          <t>Page 105 of PDF, Annual Report
0.78555 is CAD-&gt;USD</t>
        </r>
      </text>
    </comment>
    <comment ref="H20" authorId="0" shapeId="0" xr:uid="{00000000-0006-0000-3E00-000005000000}">
      <text>
        <r>
          <rPr>
            <sz val="9"/>
            <color indexed="81"/>
            <rFont val="Tahoma"/>
            <family val="2"/>
          </rPr>
          <t>Page 61 of PDF, 10-k</t>
        </r>
      </text>
    </comment>
    <comment ref="J20" authorId="0" shapeId="0" xr:uid="{00000000-0006-0000-3E00-000006000000}">
      <text>
        <r>
          <rPr>
            <sz val="9"/>
            <color indexed="81"/>
            <rFont val="Tahoma"/>
            <family val="2"/>
          </rPr>
          <t>Page 98 of PDF, 10-K</t>
        </r>
      </text>
    </comment>
    <comment ref="H21" authorId="0" shapeId="0" xr:uid="{00000000-0006-0000-3E00-000007000000}">
      <text>
        <r>
          <rPr>
            <sz val="9"/>
            <color indexed="81"/>
            <rFont val="Tahoma"/>
            <family val="2"/>
          </rPr>
          <t>Page 94 of PDF, 10-K</t>
        </r>
      </text>
    </comment>
    <comment ref="I21" authorId="0" shapeId="0" xr:uid="{00000000-0006-0000-3E00-000008000000}">
      <text>
        <r>
          <rPr>
            <sz val="9"/>
            <color indexed="81"/>
            <rFont val="Tahoma"/>
            <family val="2"/>
          </rPr>
          <t>Page 94 of PDF, 10-K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1" authorId="2" shapeId="0" xr:uid="{00000000-0006-0000-3E00-000009000000}">
      <text>
        <r>
          <rPr>
            <sz val="9"/>
            <color indexed="81"/>
            <rFont val="Tahoma"/>
            <family val="2"/>
          </rPr>
          <t>Page 94 of PDF, 10-K</t>
        </r>
      </text>
    </comment>
    <comment ref="H22" authorId="0" shapeId="0" xr:uid="{00000000-0006-0000-3E00-00000A000000}">
      <text>
        <r>
          <rPr>
            <sz val="9"/>
            <color indexed="81"/>
            <rFont val="Tahoma"/>
            <family val="2"/>
          </rPr>
          <t>Page 56 of PDF, 10-K</t>
        </r>
      </text>
    </comment>
    <comment ref="J22" authorId="0" shapeId="0" xr:uid="{00000000-0006-0000-3E00-00000B000000}">
      <text>
        <r>
          <rPr>
            <sz val="9"/>
            <color indexed="81"/>
            <rFont val="Tahoma"/>
            <family val="2"/>
          </rPr>
          <t>Page 56 of PDF, 10-K</t>
        </r>
      </text>
    </comment>
    <comment ref="H23" authorId="0" shapeId="0" xr:uid="{00000000-0006-0000-3E00-00000C000000}">
      <text>
        <r>
          <rPr>
            <sz val="9"/>
            <color indexed="81"/>
            <rFont val="Tahoma"/>
            <family val="2"/>
          </rPr>
          <t>Page 55 of PDF, 10-K</t>
        </r>
      </text>
    </comment>
    <comment ref="J23" authorId="0" shapeId="0" xr:uid="{00000000-0006-0000-3E00-00000D000000}">
      <text>
        <r>
          <rPr>
            <sz val="9"/>
            <color indexed="81"/>
            <rFont val="Tahoma"/>
            <family val="2"/>
          </rPr>
          <t>Page 55 of PDF, 10-K</t>
        </r>
      </text>
    </comment>
    <comment ref="G34" authorId="3" shapeId="0" xr:uid="{00000000-0006-0000-3E00-00000E000000}">
      <text>
        <r>
          <rPr>
            <sz val="9"/>
            <color indexed="81"/>
            <rFont val="Tahoma"/>
            <family val="2"/>
          </rPr>
          <t>Page 50 of Ful Year Statement, Long Term Debt BV (J18) already has the conversion factor calculated in</t>
        </r>
      </text>
    </comment>
    <comment ref="G35" authorId="3" shapeId="0" xr:uid="{00000000-0006-0000-3E00-00000F000000}">
      <text>
        <r>
          <rPr>
            <sz val="9"/>
            <color indexed="81"/>
            <rFont val="Tahoma"/>
            <family val="2"/>
          </rPr>
          <t>Page 128 of PDF, Annual Report</t>
        </r>
      </text>
    </comment>
    <comment ref="G36" authorId="0" shapeId="0" xr:uid="{00000000-0006-0000-3E00-000010000000}">
      <text>
        <r>
          <rPr>
            <sz val="9"/>
            <color indexed="81"/>
            <rFont val="Tahoma"/>
            <family val="2"/>
          </rPr>
          <t>Page 108 of PDF, 10-K</t>
        </r>
      </text>
    </comment>
    <comment ref="E37" authorId="4" shapeId="0" xr:uid="{00000000-0006-0000-3E00-000011000000}">
      <text>
        <r>
          <rPr>
            <sz val="9"/>
            <color indexed="81"/>
            <rFont val="Tahoma"/>
            <family val="2"/>
          </rPr>
          <t>(# of outstanding shares preferred stock)*(average preferred stock price fourth quarter)
Page 94 for outstanding shares of preferred stock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Page 47 for average price for preferred stock</t>
        </r>
      </text>
    </comment>
    <comment ref="G37" authorId="3" shapeId="0" xr:uid="{00000000-0006-0000-3E00-000012000000}">
      <text>
        <r>
          <rPr>
            <sz val="9"/>
            <color indexed="81"/>
            <rFont val="Tahoma"/>
            <family val="2"/>
          </rPr>
          <t>Page 82 of PDF, 10-K</t>
        </r>
      </text>
    </comment>
    <comment ref="G38" authorId="3" shapeId="0" xr:uid="{00000000-0006-0000-3E00-000013000000}">
      <text>
        <r>
          <rPr>
            <sz val="9"/>
            <color indexed="81"/>
            <rFont val="Tahoma"/>
            <family val="2"/>
          </rPr>
          <t>Page 70 of PDF, 10-K</t>
        </r>
      </text>
    </comment>
    <comment ref="G39" authorId="3" shapeId="0" xr:uid="{00000000-0006-0000-3E00-000014000000}">
      <text>
        <r>
          <rPr>
            <sz val="9"/>
            <color indexed="81"/>
            <rFont val="Tahoma"/>
            <family val="2"/>
          </rPr>
          <t>Page 80 of PDF, 10-K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  <author>rev3569</author>
  </authors>
  <commentList>
    <comment ref="G11" authorId="0" shapeId="0" xr:uid="{00000000-0006-0000-3F00-000001000000}">
      <text>
        <r>
          <rPr>
            <sz val="9"/>
            <color indexed="81"/>
            <rFont val="Tahoma"/>
            <family val="2"/>
          </rPr>
          <t>Page 30 of PDF, 40-F</t>
        </r>
      </text>
    </comment>
    <comment ref="G12" authorId="0" shapeId="0" xr:uid="{00000000-0006-0000-3F00-000002000000}">
      <text>
        <r>
          <rPr>
            <sz val="9"/>
            <color indexed="81"/>
            <rFont val="Tahoma"/>
            <family val="2"/>
          </rPr>
          <t>Page 81 of PDF, Annual Report</t>
        </r>
      </text>
    </comment>
    <comment ref="G13" authorId="0" shapeId="0" xr:uid="{00000000-0006-0000-3F00-000003000000}">
      <text>
        <r>
          <rPr>
            <sz val="9"/>
            <color indexed="81"/>
            <rFont val="Tahoma"/>
            <family val="2"/>
          </rPr>
          <t>Page 40 of PDF, 10-K</t>
        </r>
      </text>
    </comment>
    <comment ref="G14" authorId="1" shapeId="0" xr:uid="{00000000-0006-0000-3F00-000004000000}">
      <text>
        <r>
          <rPr>
            <b/>
            <sz val="9"/>
            <color indexed="81"/>
            <rFont val="Tahoma"/>
            <family val="2"/>
          </rPr>
          <t>rev3569:</t>
        </r>
        <r>
          <rPr>
            <sz val="9"/>
            <color indexed="81"/>
            <rFont val="Tahoma"/>
            <family val="2"/>
          </rPr>
          <t xml:space="preserve">
Washington State CAP Rate Study
</t>
        </r>
      </text>
    </comment>
    <comment ref="G15" authorId="1" shapeId="0" xr:uid="{00000000-0006-0000-3F00-000005000000}">
      <text>
        <r>
          <rPr>
            <b/>
            <sz val="9"/>
            <color indexed="81"/>
            <rFont val="Tahoma"/>
            <family val="2"/>
          </rPr>
          <t>rev3569:</t>
        </r>
        <r>
          <rPr>
            <sz val="9"/>
            <color indexed="81"/>
            <rFont val="Tahoma"/>
            <family val="2"/>
          </rPr>
          <t xml:space="preserve">
Washington State CAP Rate Study
</t>
        </r>
      </text>
    </comment>
    <comment ref="G16" authorId="1" shapeId="0" xr:uid="{00000000-0006-0000-3F00-000006000000}">
      <text>
        <r>
          <rPr>
            <b/>
            <sz val="9"/>
            <color indexed="81"/>
            <rFont val="Tahoma"/>
            <family val="2"/>
          </rPr>
          <t>rev3569:</t>
        </r>
        <r>
          <rPr>
            <sz val="9"/>
            <color indexed="81"/>
            <rFont val="Tahoma"/>
            <family val="2"/>
          </rPr>
          <t xml:space="preserve">
Washington State CAP Rate Study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  <author>REVT221</author>
  </authors>
  <commentList>
    <comment ref="H17" authorId="0" shapeId="0" xr:uid="{00000000-0006-0000-0600-000001000000}">
      <text>
        <r>
          <rPr>
            <sz val="9"/>
            <color indexed="81"/>
            <rFont val="Tahoma"/>
            <family val="2"/>
          </rPr>
          <t>Page 4 of PDF, 10-Q</t>
        </r>
      </text>
    </comment>
    <comment ref="J17" authorId="1" shapeId="0" xr:uid="{00000000-0006-0000-0600-000002000000}">
      <text>
        <r>
          <rPr>
            <sz val="9"/>
            <color indexed="81"/>
            <rFont val="Tahoma"/>
            <family val="2"/>
          </rPr>
          <t>Page 4 of PDF, 10-Q</t>
        </r>
      </text>
    </comment>
    <comment ref="D30" authorId="1" shapeId="0" xr:uid="{00000000-0006-0000-0600-000003000000}">
      <text>
        <r>
          <rPr>
            <b/>
            <sz val="9"/>
            <color indexed="81"/>
            <rFont val="Tahoma"/>
            <family val="2"/>
          </rPr>
          <t>REVT221:</t>
        </r>
        <r>
          <rPr>
            <sz val="9"/>
            <color indexed="81"/>
            <rFont val="Tahoma"/>
            <family val="2"/>
          </rPr>
          <t xml:space="preserve">
Subtract Treasury book value</t>
        </r>
      </text>
    </comment>
    <comment ref="G30" authorId="1" shapeId="0" xr:uid="{00000000-0006-0000-0600-000004000000}">
      <text>
        <r>
          <rPr>
            <b/>
            <sz val="9"/>
            <color indexed="81"/>
            <rFont val="Tahoma"/>
            <family val="2"/>
          </rPr>
          <t>REVT221:</t>
        </r>
        <r>
          <rPr>
            <sz val="9"/>
            <color indexed="81"/>
            <rFont val="Tahoma"/>
            <family val="2"/>
          </rPr>
          <t xml:space="preserve">
See 10Q  page 14
</t>
        </r>
      </text>
    </comment>
    <comment ref="B47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Not totally sure where this figure came from, can't seem to find it in last year's 10-Q</t>
        </r>
      </text>
    </comment>
    <comment ref="D47" authorId="0" shapeId="0" xr:uid="{00000000-0006-0000-0600-000006000000}">
      <text>
        <r>
          <rPr>
            <sz val="9"/>
            <color indexed="81"/>
            <rFont val="Tahoma"/>
            <family val="2"/>
          </rPr>
          <t>Page 3 of PDF, 10-Q</t>
        </r>
      </text>
    </comment>
    <comment ref="E47" authorId="0" shapeId="0" xr:uid="{00000000-0006-0000-0600-000007000000}">
      <text>
        <r>
          <rPr>
            <sz val="9"/>
            <color indexed="81"/>
            <rFont val="Tahoma"/>
            <family val="2"/>
          </rPr>
          <t>Page 19 of PDF, 10-Q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rev4440</author>
    <author>REVT221</author>
    <author>K Reaves</author>
  </authors>
  <commentList>
    <comment ref="H17" authorId="0" shapeId="0" xr:uid="{00000000-0006-0000-0A00-000001000000}">
      <text>
        <r>
          <rPr>
            <sz val="9"/>
            <color indexed="81"/>
            <rFont val="Tahoma"/>
            <family val="2"/>
          </rPr>
          <t>Page 92 of PDF, 10-K</t>
        </r>
      </text>
    </comment>
    <comment ref="J17" authorId="0" shapeId="0" xr:uid="{00000000-0006-0000-0A00-000002000000}">
      <text>
        <r>
          <rPr>
            <sz val="9"/>
            <color indexed="81"/>
            <rFont val="Tahoma"/>
            <family val="2"/>
          </rPr>
          <t>Page 92 of PDF, 10-K</t>
        </r>
      </text>
    </comment>
    <comment ref="G30" authorId="1" shapeId="0" xr:uid="{00000000-0006-0000-0A00-000003000000}">
      <text>
        <r>
          <rPr>
            <b/>
            <sz val="9"/>
            <color indexed="81"/>
            <rFont val="Tahoma"/>
            <family val="2"/>
          </rPr>
          <t>REVT221:</t>
        </r>
        <r>
          <rPr>
            <sz val="9"/>
            <color indexed="81"/>
            <rFont val="Tahoma"/>
            <family val="2"/>
          </rPr>
          <t xml:space="preserve">
See 10K page 98</t>
        </r>
      </text>
    </comment>
    <comment ref="D47" authorId="2" shapeId="0" xr:uid="{00000000-0006-0000-0A00-000004000000}">
      <text>
        <r>
          <rPr>
            <sz val="9"/>
            <color indexed="81"/>
            <rFont val="Tahoma"/>
            <family val="2"/>
          </rPr>
          <t>Page 157 of PDF, 10-K</t>
        </r>
      </text>
    </comment>
    <comment ref="E47" authorId="2" shapeId="0" xr:uid="{00000000-0006-0000-0A00-000005000000}">
      <text>
        <r>
          <rPr>
            <sz val="9"/>
            <color indexed="81"/>
            <rFont val="Tahoma"/>
            <family val="2"/>
          </rPr>
          <t>Page 157 of PDF, 10-K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rev4440</author>
    <author>REVT221</author>
    <author>rev3857</author>
    <author>K Reaves</author>
  </authors>
  <commentList>
    <comment ref="H17" authorId="0" shapeId="0" xr:uid="{00000000-0006-0000-0E00-000001000000}">
      <text>
        <r>
          <rPr>
            <sz val="9"/>
            <color indexed="81"/>
            <rFont val="Tahoma"/>
            <family val="2"/>
          </rPr>
          <t>Page 87 of PDF, 10-K</t>
        </r>
      </text>
    </comment>
    <comment ref="J17" authorId="0" shapeId="0" xr:uid="{00000000-0006-0000-0E00-000002000000}">
      <text>
        <r>
          <rPr>
            <sz val="9"/>
            <color indexed="81"/>
            <rFont val="Tahoma"/>
            <family val="2"/>
          </rPr>
          <t>Page 87 of PDF, 10-K</t>
        </r>
      </text>
    </comment>
    <comment ref="H18" authorId="0" shapeId="0" xr:uid="{00000000-0006-0000-0E00-000003000000}">
      <text>
        <r>
          <rPr>
            <sz val="9"/>
            <color indexed="81"/>
            <rFont val="Tahoma"/>
            <family val="2"/>
          </rPr>
          <t>Page 43 of PDF, 10-K</t>
        </r>
      </text>
    </comment>
    <comment ref="J18" authorId="0" shapeId="0" xr:uid="{00000000-0006-0000-0E00-000004000000}">
      <text>
        <r>
          <rPr>
            <sz val="9"/>
            <color indexed="81"/>
            <rFont val="Tahoma"/>
            <family val="2"/>
          </rPr>
          <t>Page 43 of PDF, 10-K</t>
        </r>
      </text>
    </comment>
    <comment ref="H19" authorId="0" shapeId="0" xr:uid="{00000000-0006-0000-0E00-000005000000}">
      <text>
        <r>
          <rPr>
            <sz val="9"/>
            <color indexed="81"/>
            <rFont val="Tahoma"/>
            <family val="2"/>
          </rPr>
          <t>Page 156 of PDF, 10-K</t>
        </r>
      </text>
    </comment>
    <comment ref="J19" authorId="0" shapeId="0" xr:uid="{00000000-0006-0000-0E00-000006000000}">
      <text>
        <r>
          <rPr>
            <sz val="9"/>
            <color indexed="81"/>
            <rFont val="Tahoma"/>
            <family val="2"/>
          </rPr>
          <t>Page 156 of PDF, 10-K</t>
        </r>
      </text>
    </comment>
    <comment ref="H20" authorId="0" shapeId="0" xr:uid="{00000000-0006-0000-0E00-000007000000}">
      <text>
        <r>
          <rPr>
            <sz val="9"/>
            <color indexed="81"/>
            <rFont val="Tahoma"/>
            <family val="2"/>
          </rPr>
          <t>Page 96 of PDF, 10-K</t>
        </r>
      </text>
    </comment>
    <comment ref="J20" authorId="0" shapeId="0" xr:uid="{00000000-0006-0000-0E00-000008000000}">
      <text>
        <r>
          <rPr>
            <sz val="9"/>
            <color indexed="81"/>
            <rFont val="Tahoma"/>
            <family val="2"/>
          </rPr>
          <t>Page 96 of PDF, 10-K</t>
        </r>
      </text>
    </comment>
    <comment ref="H21" authorId="0" shapeId="0" xr:uid="{00000000-0006-0000-0E00-000009000000}">
      <text>
        <r>
          <rPr>
            <sz val="9"/>
            <color indexed="81"/>
            <rFont val="Tahoma"/>
            <family val="2"/>
          </rPr>
          <t>Page 80 of PDF, 10-K</t>
        </r>
      </text>
    </comment>
    <comment ref="J21" authorId="0" shapeId="0" xr:uid="{00000000-0006-0000-0E00-00000A000000}">
      <text>
        <r>
          <rPr>
            <sz val="9"/>
            <color indexed="81"/>
            <rFont val="Tahoma"/>
            <family val="2"/>
          </rPr>
          <t>Page 80 of PDF, 10-K</t>
        </r>
      </text>
    </comment>
    <comment ref="H22" authorId="0" shapeId="0" xr:uid="{00000000-0006-0000-0E00-00000B000000}">
      <text>
        <r>
          <rPr>
            <sz val="9"/>
            <color indexed="81"/>
            <rFont val="Tahoma"/>
            <family val="2"/>
          </rPr>
          <t>Page 95 of PDF, 10-K</t>
        </r>
      </text>
    </comment>
    <comment ref="J22" authorId="0" shapeId="0" xr:uid="{00000000-0006-0000-0E00-00000C000000}">
      <text>
        <r>
          <rPr>
            <sz val="9"/>
            <color indexed="81"/>
            <rFont val="Tahoma"/>
            <family val="2"/>
          </rPr>
          <t>Page 95 of PDF, 10-K</t>
        </r>
      </text>
    </comment>
    <comment ref="H23" authorId="0" shapeId="0" xr:uid="{00000000-0006-0000-0E00-00000D000000}">
      <text>
        <r>
          <rPr>
            <sz val="9"/>
            <color indexed="81"/>
            <rFont val="Tahoma"/>
            <family val="2"/>
          </rPr>
          <t>Page 129 of PDF, 10-K</t>
        </r>
      </text>
    </comment>
    <comment ref="J23" authorId="0" shapeId="0" xr:uid="{00000000-0006-0000-0E00-00000E000000}">
      <text>
        <r>
          <rPr>
            <sz val="9"/>
            <color indexed="81"/>
            <rFont val="Tahoma"/>
            <family val="2"/>
          </rPr>
          <t>Page 129 of PDF, 10-K</t>
        </r>
      </text>
    </comment>
    <comment ref="H24" authorId="0" shapeId="0" xr:uid="{00000000-0006-0000-0E00-00000F000000}">
      <text>
        <r>
          <rPr>
            <sz val="9"/>
            <color indexed="81"/>
            <rFont val="Tahoma"/>
            <family val="2"/>
          </rPr>
          <t>Page 135 of PDF, 10-K</t>
        </r>
      </text>
    </comment>
    <comment ref="J24" authorId="0" shapeId="0" xr:uid="{00000000-0006-0000-0E00-000010000000}">
      <text>
        <r>
          <rPr>
            <sz val="9"/>
            <color indexed="81"/>
            <rFont val="Tahoma"/>
            <family val="2"/>
          </rPr>
          <t>Page 135 of PDF, 10-K</t>
        </r>
      </text>
    </comment>
    <comment ref="H25" authorId="0" shapeId="0" xr:uid="{00000000-0006-0000-0E00-000011000000}">
      <text>
        <r>
          <rPr>
            <sz val="9"/>
            <color indexed="81"/>
            <rFont val="Tahoma"/>
            <family val="2"/>
          </rPr>
          <t>Page 103 of PDF, 10-K</t>
        </r>
      </text>
    </comment>
    <comment ref="J25" authorId="1" shapeId="0" xr:uid="{00000000-0006-0000-0E00-000012000000}">
      <text>
        <r>
          <rPr>
            <sz val="9"/>
            <color indexed="81"/>
            <rFont val="Tahoma"/>
            <family val="2"/>
          </rPr>
          <t>Page 103 of PDF, 10-K</t>
        </r>
      </text>
    </comment>
    <comment ref="G35" authorId="2" shapeId="0" xr:uid="{00000000-0006-0000-0E00-000013000000}">
      <text>
        <r>
          <rPr>
            <sz val="9"/>
            <color indexed="81"/>
            <rFont val="Tahoma"/>
            <family val="2"/>
          </rPr>
          <t>Page 115 of PDF, 10-K</t>
        </r>
      </text>
    </comment>
    <comment ref="G36" authorId="2" shapeId="0" xr:uid="{00000000-0006-0000-0E00-000014000000}">
      <text>
        <r>
          <rPr>
            <b/>
            <sz val="9"/>
            <color indexed="81"/>
            <rFont val="Tahoma"/>
            <family val="2"/>
          </rPr>
          <t>rev3857:</t>
        </r>
        <r>
          <rPr>
            <sz val="9"/>
            <color indexed="81"/>
            <rFont val="Tahoma"/>
            <family val="2"/>
          </rPr>
          <t xml:space="preserve">
Page 57  of  10K</t>
        </r>
      </text>
    </comment>
    <comment ref="G37" authorId="2" shapeId="0" xr:uid="{00000000-0006-0000-0E00-000015000000}">
      <text>
        <r>
          <rPr>
            <sz val="9"/>
            <color indexed="81"/>
            <rFont val="Tahoma"/>
            <family val="2"/>
          </rPr>
          <t>Page 216 of PDF, 10-K</t>
        </r>
      </text>
    </comment>
    <comment ref="G38" authorId="2" shapeId="0" xr:uid="{00000000-0006-0000-0E00-000016000000}">
      <text>
        <r>
          <rPr>
            <sz val="9"/>
            <color indexed="81"/>
            <rFont val="Tahoma"/>
            <family val="2"/>
          </rPr>
          <t>Page 142 of PDF, 10-K</t>
        </r>
      </text>
    </comment>
    <comment ref="G39" authorId="2" shapeId="0" xr:uid="{00000000-0006-0000-0E00-000017000000}">
      <text>
        <r>
          <rPr>
            <sz val="9"/>
            <color indexed="81"/>
            <rFont val="Tahoma"/>
            <family val="2"/>
          </rPr>
          <t>Page 107 of PDF, 10-K</t>
        </r>
      </text>
    </comment>
    <comment ref="G40" authorId="2" shapeId="0" xr:uid="{00000000-0006-0000-0E00-000018000000}">
      <text>
        <r>
          <rPr>
            <sz val="9"/>
            <color indexed="81"/>
            <rFont val="Tahoma"/>
            <family val="2"/>
          </rPr>
          <t>Page 115 of PDF, 10-K</t>
        </r>
      </text>
    </comment>
    <comment ref="G41" authorId="2" shapeId="0" xr:uid="{00000000-0006-0000-0E00-000019000000}">
      <text>
        <r>
          <rPr>
            <sz val="9"/>
            <color indexed="81"/>
            <rFont val="Tahoma"/>
            <family val="2"/>
          </rPr>
          <t xml:space="preserve">Page 194 of PDF, 10-K
</t>
        </r>
      </text>
    </comment>
    <comment ref="G42" authorId="2" shapeId="0" xr:uid="{00000000-0006-0000-0E00-00001A000000}">
      <text>
        <r>
          <rPr>
            <sz val="9"/>
            <color indexed="81"/>
            <rFont val="Tahoma"/>
            <family val="2"/>
          </rPr>
          <t>Page 200 of PDF, 10-K</t>
        </r>
      </text>
    </comment>
    <comment ref="G43" authorId="2" shapeId="0" xr:uid="{00000000-0006-0000-0E00-00001B000000}">
      <text>
        <r>
          <rPr>
            <sz val="9"/>
            <color indexed="81"/>
            <rFont val="Tahoma"/>
            <family val="2"/>
          </rPr>
          <t>Page 153 of PDF, 10-K</t>
        </r>
      </text>
    </comment>
    <comment ref="D57" authorId="3" shapeId="0" xr:uid="{00000000-0006-0000-0E00-00001C000000}">
      <text>
        <r>
          <rPr>
            <sz val="9"/>
            <color indexed="81"/>
            <rFont val="Tahoma"/>
            <family val="2"/>
          </rPr>
          <t>Page 121 of PDF, 10-K</t>
        </r>
      </text>
    </comment>
    <comment ref="F57" authorId="3" shapeId="0" xr:uid="{00000000-0006-0000-0E00-00001D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Page 119 of PDF, 10-K</t>
        </r>
      </text>
    </comment>
    <comment ref="G57" authorId="3" shapeId="0" xr:uid="{00000000-0006-0000-0E00-00001E000000}">
      <text>
        <r>
          <rPr>
            <sz val="9"/>
            <color indexed="81"/>
            <rFont val="Tahoma"/>
            <family val="2"/>
          </rPr>
          <t>Page 87 of PDF, 10-K</t>
        </r>
      </text>
    </comment>
    <comment ref="F58" authorId="3" shapeId="0" xr:uid="{00000000-0006-0000-0E00-00001F000000}">
      <text>
        <r>
          <rPr>
            <sz val="9"/>
            <color indexed="81"/>
            <rFont val="Tahoma"/>
            <family val="2"/>
          </rPr>
          <t>Page 43 of PDF, 10-K</t>
        </r>
      </text>
    </comment>
    <comment ref="F59" authorId="3" shapeId="0" xr:uid="{00000000-0006-0000-0E00-000020000000}">
      <text>
        <r>
          <rPr>
            <sz val="9"/>
            <color indexed="81"/>
            <rFont val="Tahoma"/>
            <family val="2"/>
          </rPr>
          <t>Page 156 of PDF, 10-K</t>
        </r>
      </text>
    </comment>
    <comment ref="G59" authorId="3" shapeId="0" xr:uid="{00000000-0006-0000-0E00-000021000000}">
      <text>
        <r>
          <rPr>
            <sz val="9"/>
            <color indexed="81"/>
            <rFont val="Tahoma"/>
            <family val="2"/>
          </rPr>
          <t>Page 156 of PDF, 10-K</t>
        </r>
      </text>
    </comment>
    <comment ref="F60" authorId="3" shapeId="0" xr:uid="{00000000-0006-0000-0E00-000022000000}">
      <text>
        <r>
          <rPr>
            <sz val="9"/>
            <color indexed="81"/>
            <rFont val="Tahoma"/>
            <family val="2"/>
          </rPr>
          <t>Page 96 of PDF, 10-K</t>
        </r>
      </text>
    </comment>
    <comment ref="G60" authorId="3" shapeId="0" xr:uid="{00000000-0006-0000-0E00-000023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Page 96 of PDF, 10-K</t>
        </r>
      </text>
    </comment>
    <comment ref="D61" authorId="3" shapeId="0" xr:uid="{00000000-0006-0000-0E00-000024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Was the same figure as ROU Values Liab. In 2020</t>
        </r>
      </text>
    </comment>
    <comment ref="F61" authorId="3" shapeId="0" xr:uid="{00000000-0006-0000-0E00-000025000000}">
      <text>
        <r>
          <rPr>
            <sz val="9"/>
            <color indexed="81"/>
            <rFont val="Tahoma"/>
            <family val="2"/>
          </rPr>
          <t>Page 79 of PDF, 10-K</t>
        </r>
      </text>
    </comment>
    <comment ref="G61" authorId="3" shapeId="0" xr:uid="{00000000-0006-0000-0E00-000026000000}">
      <text>
        <r>
          <rPr>
            <sz val="9"/>
            <color indexed="81"/>
            <rFont val="Tahoma"/>
            <family val="2"/>
          </rPr>
          <t>Page 80 of PDF, 10-K</t>
        </r>
      </text>
    </comment>
    <comment ref="D62" authorId="3" shapeId="0" xr:uid="{00000000-0006-0000-0E00-000027000000}">
      <text>
        <r>
          <rPr>
            <sz val="9"/>
            <color indexed="81"/>
            <rFont val="Tahoma"/>
            <family val="2"/>
          </rPr>
          <t>Page 133 of PDF, 10-K</t>
        </r>
      </text>
    </comment>
    <comment ref="F62" authorId="3" shapeId="0" xr:uid="{00000000-0006-0000-0E00-000028000000}">
      <text>
        <r>
          <rPr>
            <sz val="9"/>
            <color indexed="81"/>
            <rFont val="Tahoma"/>
            <family val="2"/>
          </rPr>
          <t>Page 94 of PDF, 10-K</t>
        </r>
      </text>
    </comment>
    <comment ref="G62" authorId="3" shapeId="0" xr:uid="{00000000-0006-0000-0E00-000029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Page 95 of PDF, 10-K</t>
        </r>
      </text>
    </comment>
    <comment ref="F63" authorId="3" shapeId="0" xr:uid="{00000000-0006-0000-0E00-00002A000000}">
      <text>
        <r>
          <rPr>
            <sz val="9"/>
            <color indexed="81"/>
            <rFont val="Tahoma"/>
            <family val="2"/>
          </rPr>
          <t>Page 129 of PDF, 10-K</t>
        </r>
      </text>
    </comment>
    <comment ref="G63" authorId="3" shapeId="0" xr:uid="{00000000-0006-0000-0E00-00002B000000}">
      <text>
        <r>
          <rPr>
            <sz val="9"/>
            <color indexed="81"/>
            <rFont val="Tahoma"/>
            <family val="2"/>
          </rPr>
          <t>Page 129 of PDF, 10-K</t>
        </r>
      </text>
    </comment>
    <comment ref="D64" authorId="3" shapeId="0" xr:uid="{00000000-0006-0000-0E00-00002C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Page 189 of PDF, 10-K</t>
        </r>
      </text>
    </comment>
    <comment ref="F64" authorId="3" shapeId="0" xr:uid="{00000000-0006-0000-0E00-00002D000000}">
      <text>
        <r>
          <rPr>
            <sz val="9"/>
            <color indexed="81"/>
            <rFont val="Tahoma"/>
            <family val="2"/>
          </rPr>
          <t>Page 135 of PDF, 10-K</t>
        </r>
      </text>
    </comment>
    <comment ref="G64" authorId="3" shapeId="0" xr:uid="{00000000-0006-0000-0E00-00002E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Page 135 of PDF, 10-K</t>
        </r>
      </text>
    </comment>
    <comment ref="F65" authorId="3" shapeId="0" xr:uid="{00000000-0006-0000-0E00-00002F000000}">
      <text>
        <r>
          <rPr>
            <sz val="9"/>
            <color indexed="81"/>
            <rFont val="Tahoma"/>
            <family val="2"/>
          </rPr>
          <t>Page 102 of PDF, 10-K</t>
        </r>
      </text>
    </comment>
    <comment ref="G65" authorId="3" shapeId="0" xr:uid="{00000000-0006-0000-0E00-000030000000}">
      <text>
        <r>
          <rPr>
            <sz val="9"/>
            <color indexed="81"/>
            <rFont val="Tahoma"/>
            <family val="2"/>
          </rPr>
          <t>Page 103 of PDF, 10-K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  <author>Baker, Mike A (DOR)</author>
  </authors>
  <commentList>
    <comment ref="E11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-- for 2020 and NMF 2021</t>
        </r>
      </text>
    </comment>
    <comment ref="G11" authorId="1" shapeId="0" xr:uid="{00000000-0006-0000-0F00-000002000000}">
      <text>
        <r>
          <rPr>
            <b/>
            <sz val="9"/>
            <color indexed="81"/>
            <rFont val="Tahoma"/>
            <family val="2"/>
          </rPr>
          <t>Baker, Mike A (DOR):</t>
        </r>
        <r>
          <rPr>
            <sz val="9"/>
            <color indexed="81"/>
            <rFont val="Tahoma"/>
            <family val="2"/>
          </rPr>
          <t xml:space="preserve">
See Washington State &amp; Oregon</t>
        </r>
      </text>
    </comment>
    <comment ref="H11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Pulled from Utah state &amp; Washington state</t>
        </r>
      </text>
    </comment>
    <comment ref="E12" authorId="0" shapeId="0" xr:uid="{00000000-0006-0000-0F00-000004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-- for 2020 and NMF 2021</t>
        </r>
      </text>
    </comment>
    <comment ref="G12" authorId="1" shapeId="0" xr:uid="{00000000-0006-0000-0F00-000005000000}">
      <text>
        <r>
          <rPr>
            <b/>
            <sz val="9"/>
            <color indexed="81"/>
            <rFont val="Tahoma"/>
            <family val="2"/>
          </rPr>
          <t>Baker, Mike A (DOR):</t>
        </r>
        <r>
          <rPr>
            <sz val="9"/>
            <color indexed="81"/>
            <rFont val="Tahoma"/>
            <family val="2"/>
          </rPr>
          <t xml:space="preserve">
See Washington State</t>
        </r>
      </text>
    </comment>
    <comment ref="H12" authorId="0" shapeId="0" xr:uid="{00000000-0006-0000-0F00-000006000000}">
      <text>
        <r>
          <rPr>
            <sz val="9"/>
            <color indexed="81"/>
            <rFont val="Tahoma"/>
            <family val="2"/>
          </rPr>
          <t>See Montana, Utah, &amp; Oregon</t>
        </r>
      </text>
    </comment>
    <comment ref="E13" authorId="0" shapeId="0" xr:uid="{00000000-0006-0000-0F00-000007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Nov 20 VL: NMF for 2020
</t>
        </r>
      </text>
    </comment>
    <comment ref="G13" authorId="1" shapeId="0" xr:uid="{00000000-0006-0000-0F00-000008000000}">
      <text>
        <r>
          <rPr>
            <b/>
            <sz val="9"/>
            <color indexed="81"/>
            <rFont val="Tahoma"/>
            <family val="2"/>
          </rPr>
          <t>Baker, Mike A (DOR):</t>
        </r>
        <r>
          <rPr>
            <sz val="9"/>
            <color indexed="81"/>
            <rFont val="Tahoma"/>
            <family val="2"/>
          </rPr>
          <t xml:space="preserve">
See Washington State</t>
        </r>
      </text>
    </comment>
    <comment ref="H13" authorId="1" shapeId="0" xr:uid="{00000000-0006-0000-0F00-000009000000}">
      <text>
        <r>
          <rPr>
            <sz val="9"/>
            <color indexed="81"/>
            <rFont val="Tahoma"/>
            <family val="2"/>
          </rPr>
          <t>See Montana, Utah, &amp; Oregon</t>
        </r>
      </text>
    </comment>
    <comment ref="E14" authorId="0" shapeId="0" xr:uid="{00000000-0006-0000-0F00-00000A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NMF for 2020
</t>
        </r>
      </text>
    </comment>
    <comment ref="G14" authorId="1" shapeId="0" xr:uid="{00000000-0006-0000-0F00-00000B000000}">
      <text>
        <r>
          <rPr>
            <b/>
            <sz val="9"/>
            <color indexed="81"/>
            <rFont val="Tahoma"/>
            <family val="2"/>
          </rPr>
          <t>Baker, Mike A (DOR):</t>
        </r>
        <r>
          <rPr>
            <sz val="9"/>
            <color indexed="81"/>
            <rFont val="Tahoma"/>
            <family val="2"/>
          </rPr>
          <t xml:space="preserve">
See 10K pg 72          See Washington State &amp; Oregon</t>
        </r>
      </text>
    </comment>
    <comment ref="H14" authorId="0" shapeId="0" xr:uid="{00000000-0006-0000-0F00-00000C000000}">
      <text>
        <r>
          <rPr>
            <sz val="9"/>
            <color indexed="81"/>
            <rFont val="Tahoma"/>
            <family val="2"/>
          </rPr>
          <t>Page 72 of the 10K</t>
        </r>
      </text>
    </comment>
    <comment ref="E15" authorId="0" shapeId="0" xr:uid="{00000000-0006-0000-0F00-00000D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-- for 2020 and NMF 2021</t>
        </r>
      </text>
    </comment>
    <comment ref="G15" authorId="1" shapeId="0" xr:uid="{00000000-0006-0000-0F00-00000E000000}">
      <text>
        <r>
          <rPr>
            <b/>
            <sz val="9"/>
            <color indexed="81"/>
            <rFont val="Tahoma"/>
            <family val="2"/>
          </rPr>
          <t>Baker, Mike A (DOR):</t>
        </r>
        <r>
          <rPr>
            <sz val="9"/>
            <color indexed="81"/>
            <rFont val="Tahoma"/>
            <family val="2"/>
          </rPr>
          <t xml:space="preserve">
See 10K pg 9           See Washington State</t>
        </r>
      </text>
    </comment>
    <comment ref="H15" authorId="0" shapeId="0" xr:uid="{00000000-0006-0000-0F00-00000F000000}">
      <text>
        <r>
          <rPr>
            <sz val="9"/>
            <color indexed="81"/>
            <rFont val="Tahoma"/>
            <family val="2"/>
          </rPr>
          <t>Page 9 of the 10K</t>
        </r>
      </text>
    </comment>
    <comment ref="E16" authorId="0" shapeId="0" xr:uid="{00000000-0006-0000-0F00-000010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Nov 20 VL</t>
        </r>
      </text>
    </comment>
    <comment ref="H16" authorId="0" shapeId="0" xr:uid="{00000000-0006-0000-0F00-000011000000}">
      <text>
        <r>
          <rPr>
            <sz val="9"/>
            <color indexed="81"/>
            <rFont val="Tahoma"/>
            <family val="2"/>
          </rPr>
          <t>Pulled from Colorado Study</t>
        </r>
      </text>
    </comment>
    <comment ref="E17" authorId="0" shapeId="0" xr:uid="{00000000-0006-0000-0F00-000012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-- for 2020 and NMF 2021
</t>
        </r>
      </text>
    </comment>
    <comment ref="G17" authorId="1" shapeId="0" xr:uid="{00000000-0006-0000-0F00-000013000000}">
      <text>
        <r>
          <rPr>
            <b/>
            <sz val="9"/>
            <color indexed="81"/>
            <rFont val="Tahoma"/>
            <family val="2"/>
          </rPr>
          <t>Baker, Mike A (DOR):</t>
        </r>
        <r>
          <rPr>
            <sz val="9"/>
            <color indexed="81"/>
            <rFont val="Tahoma"/>
            <family val="2"/>
          </rPr>
          <t xml:space="preserve">
See Washington State &amp; Oregon</t>
        </r>
      </text>
    </comment>
    <comment ref="H17" authorId="0" shapeId="0" xr:uid="{00000000-0006-0000-0F00-000014000000}">
      <text>
        <r>
          <rPr>
            <sz val="9"/>
            <color indexed="81"/>
            <rFont val="Tahoma"/>
            <family val="2"/>
          </rPr>
          <t xml:space="preserve">Page 81 of the 10K
</t>
        </r>
      </text>
    </comment>
    <comment ref="E18" authorId="0" shapeId="0" xr:uid="{00000000-0006-0000-0F00-000015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-- for 2020 and NMF 2021</t>
        </r>
      </text>
    </comment>
    <comment ref="G18" authorId="1" shapeId="0" xr:uid="{00000000-0006-0000-0F00-000016000000}">
      <text>
        <r>
          <rPr>
            <b/>
            <sz val="9"/>
            <color indexed="81"/>
            <rFont val="Tahoma"/>
            <family val="2"/>
          </rPr>
          <t>Baker, Mike A (DOR):</t>
        </r>
        <r>
          <rPr>
            <sz val="9"/>
            <color indexed="81"/>
            <rFont val="Tahoma"/>
            <family val="2"/>
          </rPr>
          <t xml:space="preserve">
See Washington State</t>
        </r>
      </text>
    </comment>
    <comment ref="H18" authorId="1" shapeId="0" xr:uid="{00000000-0006-0000-0F00-000017000000}">
      <text>
        <r>
          <rPr>
            <sz val="9"/>
            <color indexed="81"/>
            <rFont val="Tahoma"/>
            <family val="2"/>
          </rPr>
          <t>See Utah &amp; Oregon</t>
        </r>
      </text>
    </comment>
    <comment ref="E19" authorId="0" shapeId="0" xr:uid="{00000000-0006-0000-0F00-000018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-- for 2020 and NMF 2021</t>
        </r>
      </text>
    </comment>
    <comment ref="G19" authorId="1" shapeId="0" xr:uid="{00000000-0006-0000-0F00-000019000000}">
      <text>
        <r>
          <rPr>
            <b/>
            <sz val="9"/>
            <color indexed="81"/>
            <rFont val="Tahoma"/>
            <family val="2"/>
          </rPr>
          <t>Baker, Mike A (DOR):</t>
        </r>
        <r>
          <rPr>
            <sz val="9"/>
            <color indexed="81"/>
            <rFont val="Tahoma"/>
            <family val="2"/>
          </rPr>
          <t xml:space="preserve">
See Washington State &amp; Oregon</t>
        </r>
      </text>
    </comment>
    <comment ref="H19" authorId="0" shapeId="0" xr:uid="{00000000-0006-0000-0F00-00001A000000}">
      <text>
        <r>
          <rPr>
            <sz val="9"/>
            <color indexed="81"/>
            <rFont val="Tahoma"/>
            <family val="2"/>
          </rPr>
          <t>Page 44 of the 10K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rev4440</author>
    <author>REVT221</author>
    <author>rev3857</author>
    <author>K Reaves</author>
  </authors>
  <commentList>
    <comment ref="H17" authorId="0" shapeId="0" xr:uid="{00000000-0006-0000-1200-000001000000}">
      <text>
        <r>
          <rPr>
            <sz val="9"/>
            <color indexed="81"/>
            <rFont val="Tahoma"/>
            <family val="2"/>
          </rPr>
          <t>Page 103 of PDF, 10-K</t>
        </r>
      </text>
    </comment>
    <comment ref="J17" authorId="1" shapeId="0" xr:uid="{00000000-0006-0000-1200-000002000000}">
      <text>
        <r>
          <rPr>
            <sz val="9"/>
            <color indexed="81"/>
            <rFont val="Tahoma"/>
            <family val="2"/>
          </rPr>
          <t>Page 103 of PDF, 10-K</t>
        </r>
      </text>
    </comment>
    <comment ref="G26" authorId="2" shapeId="0" xr:uid="{00000000-0006-0000-1200-000003000000}">
      <text>
        <r>
          <rPr>
            <b/>
            <sz val="9"/>
            <color indexed="81"/>
            <rFont val="Tahoma"/>
            <family val="2"/>
          </rPr>
          <t>Page 75 10-K</t>
        </r>
      </text>
    </comment>
    <comment ref="F40" authorId="3" shapeId="0" xr:uid="{00000000-0006-0000-1200-000004000000}">
      <text>
        <r>
          <rPr>
            <sz val="9"/>
            <color indexed="81"/>
            <rFont val="Tahoma"/>
            <family val="2"/>
          </rPr>
          <t>Page 102 of PDF, 10-K</t>
        </r>
      </text>
    </comment>
    <comment ref="G40" authorId="3" shapeId="0" xr:uid="{00000000-0006-0000-1200-000005000000}">
      <text>
        <r>
          <rPr>
            <sz val="9"/>
            <color indexed="81"/>
            <rFont val="Tahoma"/>
            <family val="2"/>
          </rPr>
          <t>Page 103 of PDF, 10-K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 Reaves</author>
    <author>Baker, Mike A (DOR)</author>
  </authors>
  <commentList>
    <comment ref="E11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K Reaves:</t>
        </r>
        <r>
          <rPr>
            <sz val="9"/>
            <color indexed="81"/>
            <rFont val="Tahoma"/>
            <family val="2"/>
          </rPr>
          <t xml:space="preserve">
-- for 2020 and NMF 2021</t>
        </r>
      </text>
    </comment>
    <comment ref="G11" authorId="1" shapeId="0" xr:uid="{00000000-0006-0000-1300-000002000000}">
      <text>
        <r>
          <rPr>
            <b/>
            <sz val="9"/>
            <color indexed="81"/>
            <rFont val="Tahoma"/>
            <family val="2"/>
          </rPr>
          <t>Baker, Mike A (DOR):</t>
        </r>
        <r>
          <rPr>
            <sz val="9"/>
            <color indexed="81"/>
            <rFont val="Tahoma"/>
            <family val="2"/>
          </rPr>
          <t xml:space="preserve">
See 10K pg 44          See Washington State &amp; Oregon</t>
        </r>
      </text>
    </comment>
    <comment ref="H11" authorId="0" shapeId="0" xr:uid="{00000000-0006-0000-1300-000003000000}">
      <text>
        <r>
          <rPr>
            <sz val="9"/>
            <color indexed="81"/>
            <rFont val="Tahoma"/>
            <family val="2"/>
          </rPr>
          <t>Page 44 of the 10K</t>
        </r>
      </text>
    </comment>
  </commentList>
</comments>
</file>

<file path=xl/sharedStrings.xml><?xml version="1.0" encoding="utf-8"?>
<sst xmlns="http://schemas.openxmlformats.org/spreadsheetml/2006/main" count="5370" uniqueCount="574">
  <si>
    <t>KENTUCKY DEPARTMENT OF REVENUE</t>
  </si>
  <si>
    <t>DIVISION OF STATE VALUATION, PUBLIC SERVICE BRANCH</t>
  </si>
  <si>
    <t>2021 Tax Year</t>
  </si>
  <si>
    <t>DIRECT CAPITALIZATION RATE STUDY</t>
  </si>
  <si>
    <t>FEDEX</t>
  </si>
  <si>
    <t>Cash Flow Direct Capitalization Rate</t>
  </si>
  <si>
    <t xml:space="preserve"> </t>
  </si>
  <si>
    <t xml:space="preserve">Source of </t>
  </si>
  <si>
    <t>Capital</t>
  </si>
  <si>
    <t xml:space="preserve">Cost of </t>
  </si>
  <si>
    <t>Tax</t>
  </si>
  <si>
    <t>Cost of Capital</t>
  </si>
  <si>
    <t>Weighted</t>
  </si>
  <si>
    <t>Structure</t>
  </si>
  <si>
    <t>Rate</t>
  </si>
  <si>
    <t>After Tax</t>
  </si>
  <si>
    <t>Cost</t>
  </si>
  <si>
    <t>EQUITY</t>
  </si>
  <si>
    <t>DEBT</t>
  </si>
  <si>
    <t>TOTAL</t>
  </si>
  <si>
    <t>SAY</t>
  </si>
  <si>
    <t>The capital structure of this industry is a representative or typical capital structure of the group, not that of the present owner.  The capital structure selected reflects the most likely arrangement of a prospective buyer.</t>
  </si>
  <si>
    <t>Industry &gt; Air Carriers - Freight</t>
  </si>
  <si>
    <t>Dec. 31, 2020</t>
  </si>
  <si>
    <t>4TH Qtr</t>
  </si>
  <si>
    <t>Average</t>
  </si>
  <si>
    <t>Common Stock</t>
  </si>
  <si>
    <t>Ticker</t>
  </si>
  <si>
    <t xml:space="preserve">Industry </t>
  </si>
  <si>
    <t>Stock Price</t>
  </si>
  <si>
    <t>4th Qtr</t>
  </si>
  <si>
    <t>Shares Outstanding</t>
  </si>
  <si>
    <t>Preferred Stock</t>
  </si>
  <si>
    <t>Long Term Debt **</t>
  </si>
  <si>
    <t>Company</t>
  </si>
  <si>
    <t>Symbol</t>
  </si>
  <si>
    <t>Group</t>
  </si>
  <si>
    <t>High</t>
  </si>
  <si>
    <t>Low</t>
  </si>
  <si>
    <t>Net of Treasury</t>
  </si>
  <si>
    <t>BV</t>
  </si>
  <si>
    <t>VL</t>
  </si>
  <si>
    <t>10K / SEC</t>
  </si>
  <si>
    <t>FedEx Corp ***</t>
  </si>
  <si>
    <t>FDX</t>
  </si>
  <si>
    <t>Air Trans</t>
  </si>
  <si>
    <t>Op Leased Property *</t>
  </si>
  <si>
    <t xml:space="preserve">Long Term Debt </t>
  </si>
  <si>
    <t>Total Market Value</t>
  </si>
  <si>
    <t>% Common Stock</t>
  </si>
  <si>
    <t>% LT Debt</t>
  </si>
  <si>
    <t>FMV</t>
  </si>
  <si>
    <t>CS+LTD +PS</t>
  </si>
  <si>
    <t>Calculated</t>
  </si>
  <si>
    <t>* Operating lease rents included are for aircraft, engines, office and facilities, purchased capacity, vehicles, real property, and other operating leased property.</t>
  </si>
  <si>
    <t>RANGE</t>
  </si>
  <si>
    <t xml:space="preserve">** Long Term Debt includes the capital lease debt  plus current maturities. </t>
  </si>
  <si>
    <t>Median</t>
  </si>
  <si>
    <t>Any difference between the lease liability value and lease asset value is prepayments, lease incentives, and/or other direct costs.</t>
  </si>
  <si>
    <t>Maintenance, real estate taxes,insurance and other operating expenses associated with the leases are excluded from the ROU measurement.</t>
  </si>
  <si>
    <t>Op Lese Expense</t>
  </si>
  <si>
    <t>ROU Values Assets</t>
  </si>
  <si>
    <t>ROU Values Liab.</t>
  </si>
  <si>
    <t>Beta</t>
  </si>
  <si>
    <t xml:space="preserve">Actual </t>
  </si>
  <si>
    <t xml:space="preserve">Financial </t>
  </si>
  <si>
    <t>S&amp;P</t>
  </si>
  <si>
    <t>Moody's /Mergent Bond</t>
  </si>
  <si>
    <t>Mergent Bond</t>
  </si>
  <si>
    <t>Tax Rate</t>
  </si>
  <si>
    <t>Strength</t>
  </si>
  <si>
    <t>Rating</t>
  </si>
  <si>
    <t>Debt Rate</t>
  </si>
  <si>
    <t xml:space="preserve">FedEx Corp </t>
  </si>
  <si>
    <t>AirTrans</t>
  </si>
  <si>
    <t>A++</t>
  </si>
  <si>
    <t>BBB</t>
  </si>
  <si>
    <t>Baa2</t>
  </si>
  <si>
    <t>Say</t>
  </si>
  <si>
    <t>CASH FLOW MULTIPLIERS</t>
  </si>
  <si>
    <t>YEAR END 12/31/2020</t>
  </si>
  <si>
    <t>Cash Flow</t>
  </si>
  <si>
    <t>Computed</t>
  </si>
  <si>
    <t>Price</t>
  </si>
  <si>
    <t>Per Share</t>
  </si>
  <si>
    <t>Multiple</t>
  </si>
  <si>
    <t>Inverse</t>
  </si>
  <si>
    <t>VL Actual 2020 CF</t>
  </si>
  <si>
    <t>UNITED PARCEL SERVICE</t>
  </si>
  <si>
    <t xml:space="preserve">United Parcel Service </t>
  </si>
  <si>
    <t>UPS</t>
  </si>
  <si>
    <t>A+</t>
  </si>
  <si>
    <t>A2</t>
  </si>
  <si>
    <t>UNITED AIRLINES</t>
  </si>
  <si>
    <t>Industry &gt; Air Carriers - ALL</t>
  </si>
  <si>
    <t>Yahoo</t>
  </si>
  <si>
    <t>United Airlines Holdings Inc</t>
  </si>
  <si>
    <t>UAL</t>
  </si>
  <si>
    <t>Airtrans</t>
  </si>
  <si>
    <t xml:space="preserve">% LT Debt </t>
  </si>
  <si>
    <t>Op Lease Expense</t>
  </si>
  <si>
    <t>Industry &gt; Air Carriers - All</t>
  </si>
  <si>
    <t>Moody's / Mergent Bond</t>
  </si>
  <si>
    <t>C++</t>
  </si>
  <si>
    <t>Baa1</t>
  </si>
  <si>
    <t>B++</t>
  </si>
  <si>
    <t>Ba1</t>
  </si>
  <si>
    <t>DELTA</t>
  </si>
  <si>
    <t xml:space="preserve">Delta Air Lines </t>
  </si>
  <si>
    <t>DAL</t>
  </si>
  <si>
    <t>B+</t>
  </si>
  <si>
    <t>Baa3</t>
  </si>
  <si>
    <t>SKYWEST, INC.</t>
  </si>
  <si>
    <t>Skywest Inc</t>
  </si>
  <si>
    <t>SKYW</t>
  </si>
  <si>
    <t>Baa</t>
  </si>
  <si>
    <t>AMERICAN AIRLINES</t>
  </si>
  <si>
    <t>American Airlines Group</t>
  </si>
  <si>
    <t>AAL</t>
  </si>
  <si>
    <t xml:space="preserve">American Airlines </t>
  </si>
  <si>
    <t>C+</t>
  </si>
  <si>
    <t>SOUTHWEST</t>
  </si>
  <si>
    <t xml:space="preserve">Southwest Airlines </t>
  </si>
  <si>
    <t>LUV</t>
  </si>
  <si>
    <t>AIR CARRIER - FREIGHT</t>
  </si>
  <si>
    <t>Air Transport Services Group</t>
  </si>
  <si>
    <t>ATSG</t>
  </si>
  <si>
    <t>Atlas Air</t>
  </si>
  <si>
    <t>AAWW</t>
  </si>
  <si>
    <t>33.35% - 82.26%</t>
  </si>
  <si>
    <t>17.74% - 66.65%</t>
  </si>
  <si>
    <t>Air Transport Services</t>
  </si>
  <si>
    <t>Without Atlas</t>
  </si>
  <si>
    <t>B</t>
  </si>
  <si>
    <t>-</t>
  </si>
  <si>
    <t>Atlas Air Worldwide Holdings</t>
  </si>
  <si>
    <t>0.75 - 1.10</t>
  </si>
  <si>
    <t>21.3 - 27.7</t>
  </si>
  <si>
    <t>2.79% - 3.29%</t>
  </si>
  <si>
    <t>5.94 - 23.32</t>
  </si>
  <si>
    <t>2.46 - 14.84</t>
  </si>
  <si>
    <t>6.74 - 40.70%</t>
  </si>
  <si>
    <t>WITHOUT ATLAS AIR</t>
  </si>
  <si>
    <t>5.28 - 14.84</t>
  </si>
  <si>
    <t>6.74 -18.95%</t>
  </si>
  <si>
    <t>AIR CARRIER - All</t>
  </si>
  <si>
    <t xml:space="preserve">Alaska Air </t>
  </si>
  <si>
    <t>ALK</t>
  </si>
  <si>
    <t xml:space="preserve">Allegiant Travel Co. </t>
  </si>
  <si>
    <t>ALGT</t>
  </si>
  <si>
    <t xml:space="preserve">JetBlue Airways </t>
  </si>
  <si>
    <t>JBLU</t>
  </si>
  <si>
    <t xml:space="preserve">Spirit Airlines </t>
  </si>
  <si>
    <t>SAVE</t>
  </si>
  <si>
    <t>19.91% - 65.42%</t>
  </si>
  <si>
    <t>34.58% - 80.09%</t>
  </si>
  <si>
    <t>Ba3</t>
  </si>
  <si>
    <t>B1</t>
  </si>
  <si>
    <t>1.05 - 1.85</t>
  </si>
  <si>
    <t>0.00% - 24.00%</t>
  </si>
  <si>
    <t>NMF: Not meaningful, a number is so large or small it is not meaningful</t>
  </si>
  <si>
    <t>14.54 - 189.24</t>
  </si>
  <si>
    <t>1.65 - 18.63</t>
  </si>
  <si>
    <t>1.31 - 114.69</t>
  </si>
  <si>
    <t>0.87% - 76.22%</t>
  </si>
  <si>
    <t>ELECTRIC UTILITIES</t>
  </si>
  <si>
    <t>Industry &gt; Electric Companies</t>
  </si>
  <si>
    <t>Allete</t>
  </si>
  <si>
    <t>ALE</t>
  </si>
  <si>
    <t>Electric Utility</t>
  </si>
  <si>
    <t>Alliant Energy</t>
  </si>
  <si>
    <t>LNT</t>
  </si>
  <si>
    <t>AMEREN</t>
  </si>
  <si>
    <t>AEE</t>
  </si>
  <si>
    <t>American Electric Power</t>
  </si>
  <si>
    <t>AEP</t>
  </si>
  <si>
    <t>Centerpoint Energy</t>
  </si>
  <si>
    <t>CNP</t>
  </si>
  <si>
    <t>CMS Energy</t>
  </si>
  <si>
    <t>CMS</t>
  </si>
  <si>
    <t>DTE Energy</t>
  </si>
  <si>
    <t>DTE</t>
  </si>
  <si>
    <t>Duke Energy</t>
  </si>
  <si>
    <t>DUK</t>
  </si>
  <si>
    <t>Entergy Corp</t>
  </si>
  <si>
    <t>ETR</t>
  </si>
  <si>
    <t>FirstEnergy Solutions Corp</t>
  </si>
  <si>
    <t>FE</t>
  </si>
  <si>
    <t>MGE Energy</t>
  </si>
  <si>
    <t>MGEE</t>
  </si>
  <si>
    <t>OGE Energy Corp.</t>
  </si>
  <si>
    <t>OGE</t>
  </si>
  <si>
    <t>Otter Tail Corp</t>
  </si>
  <si>
    <t>OTTR</t>
  </si>
  <si>
    <t>PPL Corporation</t>
  </si>
  <si>
    <t>PPL</t>
  </si>
  <si>
    <t>Southern</t>
  </si>
  <si>
    <t>SO</t>
  </si>
  <si>
    <t>WEC Energy Group</t>
  </si>
  <si>
    <t>WEC</t>
  </si>
  <si>
    <t>Preferred Stock &amp;</t>
  </si>
  <si>
    <t>Long Term Debt *</t>
  </si>
  <si>
    <t>% LT Debt &amp; Pref Stock</t>
  </si>
  <si>
    <t>39.61% - 79.25%</t>
  </si>
  <si>
    <t>20.75% - 60.39%</t>
  </si>
  <si>
    <t>S &amp; P</t>
  </si>
  <si>
    <t>A</t>
  </si>
  <si>
    <t>A-</t>
  </si>
  <si>
    <t>BBB+</t>
  </si>
  <si>
    <t>A1</t>
  </si>
  <si>
    <t>FirstEnergy Corp</t>
  </si>
  <si>
    <t>BB</t>
  </si>
  <si>
    <t>A3</t>
  </si>
  <si>
    <t>Southern Company</t>
  </si>
  <si>
    <t xml:space="preserve">  </t>
  </si>
  <si>
    <t>0.70 - 1.15</t>
  </si>
  <si>
    <t>0%  - 26.00%</t>
  </si>
  <si>
    <t>A+ - B++</t>
  </si>
  <si>
    <t>A1 - Baa2</t>
  </si>
  <si>
    <t>2.79%  - 5.46%</t>
  </si>
  <si>
    <t>PPL Corp</t>
  </si>
  <si>
    <t>21.64 - 121.41</t>
  </si>
  <si>
    <t>3.46 - 18.21</t>
  </si>
  <si>
    <t>5.48 - 14.77</t>
  </si>
  <si>
    <t>6.77 - 18.24%</t>
  </si>
  <si>
    <t xml:space="preserve">Guideline companies were selected from Electric (East &amp; Central &amp; West) Value Line Industry groups. </t>
  </si>
  <si>
    <t>Companies excluded from this study include &gt;</t>
  </si>
  <si>
    <t>Great Plains Energy - No longer publicly traded.  Evergy Inc created through a merger of Great Plains and Westar Energy Inc.</t>
  </si>
  <si>
    <t>Westar Energy - No longer publicly traded.  Evergy Inc created through a merger of Great Plains and Westar Energy Inc.</t>
  </si>
  <si>
    <t>Vectren Corp - No longer publicly traded. Merged with Center Point Energy Inc. on February 1, 2019.</t>
  </si>
  <si>
    <t>INDEPENDENT ELECTRIC UTILITIES</t>
  </si>
  <si>
    <t>Industry &gt; Independent Electric Companies</t>
  </si>
  <si>
    <t>Shares Issued</t>
  </si>
  <si>
    <t>Wholesale Power</t>
  </si>
  <si>
    <t>Exelon Corp</t>
  </si>
  <si>
    <t>EXC</t>
  </si>
  <si>
    <t>NRG Energy</t>
  </si>
  <si>
    <t>NRG</t>
  </si>
  <si>
    <t>Transalta Corporation</t>
  </si>
  <si>
    <t>TSE-TA.TO</t>
  </si>
  <si>
    <t>Vistra Energy</t>
  </si>
  <si>
    <t>VST</t>
  </si>
  <si>
    <t>0.78555 is CAD to USD Conversion on 12/30/20, https://www.exchange-rates.org/Rate/CAD/USD/12-31-2020</t>
  </si>
  <si>
    <t>20.80% - 74.59%</t>
  </si>
  <si>
    <t>25.41% - 79.20%</t>
  </si>
  <si>
    <t>BB+</t>
  </si>
  <si>
    <t>Ba2</t>
  </si>
  <si>
    <t>0.90 - 1.20</t>
  </si>
  <si>
    <t>9.10%  - 44.30%</t>
  </si>
  <si>
    <t>Ba1   Baa1</t>
  </si>
  <si>
    <t>3.93%  - 5.69%</t>
  </si>
  <si>
    <t xml:space="preserve">Independent Unregulated Wholesale Electric companies selected are limited to those companies that are operating in or near Kentucky. </t>
  </si>
  <si>
    <t xml:space="preserve">Guideline companies were selected from Power Producers in Value Line Industry groups. </t>
  </si>
  <si>
    <t>TransAlta Corporation</t>
  </si>
  <si>
    <t>9.67 - 77.15</t>
  </si>
  <si>
    <t>1.35 - 9.10</t>
  </si>
  <si>
    <t>4.05 - 17.94</t>
  </si>
  <si>
    <t>5.57% - 24.67%</t>
  </si>
  <si>
    <t>Companies excluded from the study &gt;</t>
  </si>
  <si>
    <t>BMX Technologies - Nuclear energy supplier</t>
  </si>
  <si>
    <t>Ormat Technologies Inc. - Geothermal operations</t>
  </si>
  <si>
    <t>Pattern Energy- Was unable to find Valueline page and info for company.  Company removed</t>
  </si>
  <si>
    <t>Companies added to the study &gt;</t>
  </si>
  <si>
    <t>Exelon Corp - 68% Nuclear energy provider of electricty.  Has nonregulated generation and marketing operations.  Added in 2019 study.</t>
  </si>
  <si>
    <t>TransAlta Corporation - Unregulated electric power producer</t>
  </si>
  <si>
    <t>GAS DISTRIBUTION COMPANIES</t>
  </si>
  <si>
    <t>Industry &gt; Gas Distribution</t>
  </si>
  <si>
    <t>Atmos Energy Corp</t>
  </si>
  <si>
    <t>ATO</t>
  </si>
  <si>
    <t>Nat Gas Utility</t>
  </si>
  <si>
    <t>Black Hills Corporation</t>
  </si>
  <si>
    <t>BKH</t>
  </si>
  <si>
    <t>Electric &amp; Gas</t>
  </si>
  <si>
    <t>CenterPoint Energy Inc.</t>
  </si>
  <si>
    <t>CMS Energy Corporation</t>
  </si>
  <si>
    <t>MGE Energy Inc.</t>
  </si>
  <si>
    <t>New Jersey Resources Corp</t>
  </si>
  <si>
    <t>NJR</t>
  </si>
  <si>
    <t>NISOURCE Inc</t>
  </si>
  <si>
    <t>NI</t>
  </si>
  <si>
    <t>Northwest Natural Gas Company</t>
  </si>
  <si>
    <t>NWN</t>
  </si>
  <si>
    <t>One Gas Inc</t>
  </si>
  <si>
    <t>OGS</t>
  </si>
  <si>
    <t>South Jersey Industries Inc.</t>
  </si>
  <si>
    <t>SJI</t>
  </si>
  <si>
    <t>Southwest Gas Corp</t>
  </si>
  <si>
    <t>SWX</t>
  </si>
  <si>
    <t>Spire Inc</t>
  </si>
  <si>
    <t>SR</t>
  </si>
  <si>
    <t>CS + PS + LTD</t>
  </si>
  <si>
    <t>40.42%-79.25%</t>
  </si>
  <si>
    <t>20.75%-59.58%</t>
  </si>
  <si>
    <t>Industry &gt; Gas Distribution Companies</t>
  </si>
  <si>
    <t>Gas Utility</t>
  </si>
  <si>
    <t>NISOURCE Inc.</t>
  </si>
  <si>
    <t>AA- / A+</t>
  </si>
  <si>
    <t>A2 / Baa1</t>
  </si>
  <si>
    <t>Southwest Gas</t>
  </si>
  <si>
    <t>.70 - 1.15</t>
  </si>
  <si>
    <t>12.30% - 21.00%</t>
  </si>
  <si>
    <t xml:space="preserve">A3 </t>
  </si>
  <si>
    <t>One Gas INC</t>
  </si>
  <si>
    <t xml:space="preserve">Southwest Gas </t>
  </si>
  <si>
    <t>21.55 - 95.43</t>
  </si>
  <si>
    <t>2.65 - 9.65</t>
  </si>
  <si>
    <t>6.25 - 14.77</t>
  </si>
  <si>
    <t>6.77 - 15.99</t>
  </si>
  <si>
    <t xml:space="preserve">Chesapeake Utilities - 50% of their business income is associated with unregulated propane distribution.  DOR decided to exclude this company as a guideline utility. </t>
  </si>
  <si>
    <t>Delta Natural Gas Company  -  No longer publicly traded.  Peoples Natural Gas acquired Delta.</t>
  </si>
  <si>
    <t>Gas Natural, Inc. - Not publicly traded.  Recently acquired (June 2017) by Black Rock Assets Global Energy &amp; Power.</t>
  </si>
  <si>
    <t>UGI Corporation  -  Gas distribution utility operations too small (27%).</t>
  </si>
  <si>
    <t>WGL Holdings - Currently merging with AtlaGas Ltd.</t>
  </si>
  <si>
    <t>Companies added to this study are &gt;</t>
  </si>
  <si>
    <t xml:space="preserve">Black Hills Corporation - 84% of their customers are provided gas distribtuion and 16% are provided electric services.  Serve gas customers in Arkansas, Colorado, Iowa, Kansas, Nebraska, and Wyoming.  </t>
  </si>
  <si>
    <t>CenterPoint Energy Inc - 64% of their customers are provided gas distribtuion and 36% are provided electric services.  This company merged with Vectren Corp. in early 2019 but will be used for our purposes.</t>
  </si>
  <si>
    <t>CMS Energy Corporation - 50% of their customers are provided gas distribution and 50% are provided electric services.</t>
  </si>
  <si>
    <t>MGE Energy Inc. - 51% of their customers are provided gas distribution and 49% are provided electric services.</t>
  </si>
  <si>
    <t>WEC Energy Group - 64% of their customers receive gas distribution as well as electric service</t>
  </si>
  <si>
    <t xml:space="preserve">Atmos Energy Corporation - Nation's largest fully regulated natural gas-only distributor.  3 million customers.  </t>
  </si>
  <si>
    <t xml:space="preserve">New Jersey Resources Inc. (Holding Company) -  New Jersey Natural Gas serves customers in New Jersey and states from the Gulf Coast to New England and Canada.  Provides retail and wholesale services to 547,600 customers.  </t>
  </si>
  <si>
    <t xml:space="preserve">Nisource Inc. - 67% of their business income is associated with natural gas distribution.  A natural gas and electric company serving customers in Kentucky, Indiana, Ohio, Pennsylvania, Virginia, Maryland and Massachusetts  </t>
  </si>
  <si>
    <t xml:space="preserve">NothWest Natural Gas Company - 89% of their business income is associated with natural gas distribution.  </t>
  </si>
  <si>
    <t xml:space="preserve">One Gas Inc. - Oklahoma, Kansas, and Texas gas distributor.  Nation's 3rd largest fully regulated natural gas-only distributor.  2.0 million customers.  </t>
  </si>
  <si>
    <t xml:space="preserve">Southwest Gas Holdings Inc. (Southwest Gas Corp) - Arizona, California and Nevada gas distributor.  A large fully regulated natural gas distributor.  2.0 million customers.  Also owns the Paiute Pipeline Company.  </t>
  </si>
  <si>
    <t xml:space="preserve">South Jersey Industries Inc. - New Jersey and Maryland gas distributor.  Fully regulated natural gas-only distributor serving 690,000 customers.  </t>
  </si>
  <si>
    <t xml:space="preserve">Spire Inc. - Missouri, Alabama and Mississippi gas distributor.  Nation's 5th largest fully regulated natural gas-only distributor.  1.7 million customers.  </t>
  </si>
  <si>
    <t>GAS PIPELINE COMPANIES</t>
  </si>
  <si>
    <t>Industry &gt; Gas Pipeline Companies</t>
  </si>
  <si>
    <t>DCP Midstream LP</t>
  </si>
  <si>
    <t>DCP</t>
  </si>
  <si>
    <t>Pipeline MLPs</t>
  </si>
  <si>
    <t>Enable Midstream Partners LP</t>
  </si>
  <si>
    <t>ENBL</t>
  </si>
  <si>
    <t>Enbridge Inc</t>
  </si>
  <si>
    <t>ENB.TO</t>
  </si>
  <si>
    <t>Oil &amp; Gas Distribution</t>
  </si>
  <si>
    <t>Enlink Midstream LLC</t>
  </si>
  <si>
    <t>ENLC</t>
  </si>
  <si>
    <t>Enterprise Products Partnership LP</t>
  </si>
  <si>
    <t>EPD</t>
  </si>
  <si>
    <t>Kinder Morgan Inc</t>
  </si>
  <si>
    <t>KMI</t>
  </si>
  <si>
    <t>ONEOK Inc</t>
  </si>
  <si>
    <t>OKE</t>
  </si>
  <si>
    <t>TC Energy Corp</t>
  </si>
  <si>
    <t>TRP</t>
  </si>
  <si>
    <t>William Companys Inc</t>
  </si>
  <si>
    <t>WMB</t>
  </si>
  <si>
    <t>23.12% - 56.01%</t>
  </si>
  <si>
    <t>43.99% - 76.88%</t>
  </si>
  <si>
    <t>0.90 - 1.90</t>
  </si>
  <si>
    <t>0.00% - 23.00%</t>
  </si>
  <si>
    <t>3.29% - 7.47%</t>
  </si>
  <si>
    <t>Williams Companys Inc</t>
  </si>
  <si>
    <t>3.71 - 40.72</t>
  </si>
  <si>
    <t>.85 - 5.25</t>
  </si>
  <si>
    <t xml:space="preserve">Enlink Midstream LLC (ENLC) - Transports, stores, sells natural gas liquids and crude oil.  They have 12,000 miles of pipeline. </t>
  </si>
  <si>
    <t>AmeriGas Partners (APU) - Primarily engaged in the marketing and distribution of propane.  Not applicable to gas and/or fluid transportation pipeline services.   MLP</t>
  </si>
  <si>
    <t>Andeavor Logistics LP (AMDX) - Removed, Was acquired by MPLX LP on July 30th, 2019. No longer listed on stock indexes.</t>
  </si>
  <si>
    <t>Antero Midstream Parters (AM) - Primarily gathers and processes natural gas (some oil).  Also engaged mid stream activities and hydro facturing &amp; processing.  Not applicable to fluid transportation pipeline services.   Nat Gas Diversified</t>
  </si>
  <si>
    <t>Boardwalk Pipeline (BWP) - Not Used.  No longer publicly traded.</t>
  </si>
  <si>
    <t xml:space="preserve">Cheniere Energy Partners (CQP) - Not Used.  On the gulf coast (Louisiana).  NGL facilities engaged in shipping gas worldwide via ships.  A few pipelines.     </t>
  </si>
  <si>
    <t xml:space="preserve">Enlink Midstream Partners LP (ENLK) -  Primarily oil / gas exploration, production, gathering, and some transmission.  Company recently acquired by EnLink Midstream LLC  </t>
  </si>
  <si>
    <t>MDU Resources (MDU) -  Mainly in construction materials and contracting.  They do have pipeline servcies representing 1% of revenues.  Too small and more like a utility.  Nat Gas Diversified</t>
  </si>
  <si>
    <t>MPLX LP -  Primarily oil transporation.  Some gas transmission.  See liquid pipelines.      MLP</t>
  </si>
  <si>
    <t xml:space="preserve">National Fuel Gas (NFG) -   Primarily independent exploration and production company.  Not applicable to Gas pipeline transportation services.   Nat Gas Diversified  </t>
  </si>
  <si>
    <t xml:space="preserve">Spectra Energy Partners LP (SEP) and Spectra Energy Corp - Not used.  No longer publicly traded.  Acquired by Enbridge.    </t>
  </si>
  <si>
    <t>Suburban Propane (SPH) - Primarily engaged in the marketing and distribution of propane and fuel oil to retail customers.  Not applicable to gas pipeline services or the fluid transportation pipeline services.    MLP</t>
  </si>
  <si>
    <t>LIQUID PIPELINE COMPANIES</t>
  </si>
  <si>
    <t>Industry &gt; Pipeline Companies</t>
  </si>
  <si>
    <t>Energy Transfer LP</t>
  </si>
  <si>
    <t>ET</t>
  </si>
  <si>
    <t>Enterprise Products Partnership</t>
  </si>
  <si>
    <t>Holly Energy Partners LP</t>
  </si>
  <si>
    <t>HEP</t>
  </si>
  <si>
    <t>Magellan Midstream Partners</t>
  </si>
  <si>
    <t>MMP</t>
  </si>
  <si>
    <t>MPLX, LP</t>
  </si>
  <si>
    <t>MPLX</t>
  </si>
  <si>
    <t>NuStar Energy LP</t>
  </si>
  <si>
    <t>NS</t>
  </si>
  <si>
    <t>Phillips 66 Partners LP</t>
  </si>
  <si>
    <t>PSXP</t>
  </si>
  <si>
    <t>Plains All American Pipeline LP</t>
  </si>
  <si>
    <t>PAA</t>
  </si>
  <si>
    <t>22.91% - 61.69%</t>
  </si>
  <si>
    <t>38.31% - 77.09%</t>
  </si>
  <si>
    <t>Industry &gt; Liquid Pipeline Companies</t>
  </si>
  <si>
    <t>Holly Energy Partners</t>
  </si>
  <si>
    <t>Magellan Midstream Partners LP</t>
  </si>
  <si>
    <t>BB-</t>
  </si>
  <si>
    <t xml:space="preserve">Ba3 </t>
  </si>
  <si>
    <t xml:space="preserve">Phillips 66 Partners LP </t>
  </si>
  <si>
    <t>.95 - 1.90</t>
  </si>
  <si>
    <t>0.00% - 5.00%</t>
  </si>
  <si>
    <t>5.26 - 56.57</t>
  </si>
  <si>
    <t>1.60 - 5.90</t>
  </si>
  <si>
    <t>2.67 - 8.84</t>
  </si>
  <si>
    <t>4.68% - 37.47%</t>
  </si>
  <si>
    <t xml:space="preserve">AmeriGas Partners (APU) - Primarily engaged in the marketing and distribution of propane.  Not applicable to fluid transportation pipeline services.  </t>
  </si>
  <si>
    <t>Andeavor Logistics LP - Removed, Was acquired by MPLX LP on July 30th, 2019. No longer listed on stock indexes.</t>
  </si>
  <si>
    <t xml:space="preserve">Antero Midstream Parters (AM) - Primarily gathers and processes natural gas (some oil).  Also engaged mid stream activities and hydro facturing &amp; processing.  Not applicable to fluid transportation pipeline services.  </t>
  </si>
  <si>
    <t>Boardwalk Pipeline  - Not Used.  No longer publicly traded.</t>
  </si>
  <si>
    <t>Buckeye Partners LP - Removed Acquired/merged by IFM investors. No longer publicly traded.</t>
  </si>
  <si>
    <t>Cheniere Energy Partners (CQP) - Engages in LNG business and related natural gas pipelines.   MLP</t>
  </si>
  <si>
    <t xml:space="preserve">Suburban Propane (SPH) - Primarily engaged in the marketing and distribution of propane and fuel oil to retail customers.  Not applicable to fluid transportation pipeline services.  </t>
  </si>
  <si>
    <t xml:space="preserve">Spectra Energy Partners LP (SEP) and Spectra Energy Corp - Not used.  No longer publicly traded.    </t>
  </si>
  <si>
    <t xml:space="preserve">Tallgrass Energy Partners (TEP) and Tallgrass Energy GP, LP (TEGP) - Not used.  No longer publicly traded.    </t>
  </si>
  <si>
    <t xml:space="preserve">Western Gas Partners LP (WES) - Not used.  Merger took place in Feb. 2019. Company involved in gathering and midstream processing in Rocky mountains and Texas.  </t>
  </si>
  <si>
    <t>EQM Midstream Partners (EQM) - EQM merged with Equitrans Midstream Corp 06/2020</t>
  </si>
  <si>
    <t>Valero Energy Partners (VLP) - Not Used.  No longer publicly traded. Acquired by Valero Energy Corp.</t>
  </si>
  <si>
    <t>PRIVATE WATER COMPANIES</t>
  </si>
  <si>
    <t>Industry &gt; Private Water Companies</t>
  </si>
  <si>
    <t>*</t>
  </si>
  <si>
    <t>American States Water Company</t>
  </si>
  <si>
    <t>AWR</t>
  </si>
  <si>
    <t>Water Utility</t>
  </si>
  <si>
    <t>American Water Works Company Inc</t>
  </si>
  <si>
    <t>AWK</t>
  </si>
  <si>
    <t xml:space="preserve">California Water Service Group </t>
  </si>
  <si>
    <t>CWT</t>
  </si>
  <si>
    <t>Essential Utilities, Inc.</t>
  </si>
  <si>
    <t>WTRG</t>
  </si>
  <si>
    <t>Middlesex Water Company</t>
  </si>
  <si>
    <t>MSEX</t>
  </si>
  <si>
    <t>SJW Corporation</t>
  </si>
  <si>
    <t>SJW</t>
  </si>
  <si>
    <t>The York Water Company</t>
  </si>
  <si>
    <t>YORW</t>
  </si>
  <si>
    <t>55.77% - 83.97%</t>
  </si>
  <si>
    <t>16.03% - 44.23%</t>
  </si>
  <si>
    <t>S&amp;P Bond</t>
  </si>
  <si>
    <t>Mergent</t>
  </si>
  <si>
    <t>AA-</t>
  </si>
  <si>
    <t>Aa3</t>
  </si>
  <si>
    <t>A / A-</t>
  </si>
  <si>
    <t>A2 / A3</t>
  </si>
  <si>
    <t>0.65 - 0.95</t>
  </si>
  <si>
    <t>1.50% - 25.00%</t>
  </si>
  <si>
    <t>2.47% - 3.29%</t>
  </si>
  <si>
    <t>SJW Group Corporation</t>
  </si>
  <si>
    <t>46.60 - 153.47</t>
  </si>
  <si>
    <t>1.88 - 7.24</t>
  </si>
  <si>
    <t>13.14 - 24.79</t>
  </si>
  <si>
    <t>4.03% - 7.61%</t>
  </si>
  <si>
    <t>NOTE:  Aqua America Inc. change its name to Essential Utilities Inc in February 2020</t>
  </si>
  <si>
    <t>Connecticut Water Service Inc</t>
  </si>
  <si>
    <t>Merged with SJW in Oct '19. No longer listed on Stock Market Indexes/Publically Traded.</t>
  </si>
  <si>
    <t>RAILROAD COMPANIES</t>
  </si>
  <si>
    <t>Industry &gt; Railroads</t>
  </si>
  <si>
    <t>10K / SEC / $ US</t>
  </si>
  <si>
    <t>Canadian National</t>
  </si>
  <si>
    <t>CNI</t>
  </si>
  <si>
    <t>Railroad</t>
  </si>
  <si>
    <t>Canadian Pacific</t>
  </si>
  <si>
    <t>CP</t>
  </si>
  <si>
    <t>CSX Corp</t>
  </si>
  <si>
    <t>CSX</t>
  </si>
  <si>
    <t>Kansas City Southern</t>
  </si>
  <si>
    <t>KSU</t>
  </si>
  <si>
    <t>Norfolk Southern</t>
  </si>
  <si>
    <t>NSC</t>
  </si>
  <si>
    <t>Union Pacific Railroad</t>
  </si>
  <si>
    <t>UNP</t>
  </si>
  <si>
    <t xml:space="preserve">Preferred Stock </t>
  </si>
  <si>
    <t>48.17% - 86.02%</t>
  </si>
  <si>
    <t>13.98% - 51.83%</t>
  </si>
  <si>
    <t>Industry &gt; Railroad Companies</t>
  </si>
  <si>
    <t>Union Pacific</t>
  </si>
  <si>
    <t>0.85 -  1.15</t>
  </si>
  <si>
    <t>22.00% - 28.00%</t>
  </si>
  <si>
    <t>A++ - B+</t>
  </si>
  <si>
    <t>Aa2 - Baa3</t>
  </si>
  <si>
    <t>69.34 - 237.61</t>
  </si>
  <si>
    <t>5.45 - 18.6</t>
  </si>
  <si>
    <t>3.73 - 19.10</t>
  </si>
  <si>
    <t>5.23% - 26.82%</t>
  </si>
  <si>
    <t>American Railcar Industries Inc -  Designer and manufacturer of railcars.  Not a railroad.</t>
  </si>
  <si>
    <t>GATX Corporation -  Railcar lessor.  Not a railroad.</t>
  </si>
  <si>
    <t>Genesee &amp; Wyoming- Removed, was sold to infastructure asset management firm Brookfield Infastructure in '19. No longer listed on stock indexes as separate entity.</t>
  </si>
  <si>
    <t>GreenBrier Companies Inc.  -  Designer, manufacturer, plus repairs of railcars.  Not a railroad.</t>
  </si>
  <si>
    <t>Trinity Industries Inc. -  Manufacturer of railcars and component parts.  Not a railroad.</t>
  </si>
  <si>
    <t>Table of Contents</t>
  </si>
  <si>
    <t>CapRate_AC F ALL</t>
  </si>
  <si>
    <t>AIR CARRIER - FREIGHT - ALL</t>
  </si>
  <si>
    <t>S&amp;D_AC F ALL</t>
  </si>
  <si>
    <t>Debt_AC F ALL</t>
  </si>
  <si>
    <t>CF Multiples_AC F ALL</t>
  </si>
  <si>
    <t>CapRate_AC F FEDEX</t>
  </si>
  <si>
    <t>AIR CARRIER - FREIGHT - FEDEX</t>
  </si>
  <si>
    <t>S&amp;D_AC F FEDEX</t>
  </si>
  <si>
    <t>Debt_AC F FEDEX</t>
  </si>
  <si>
    <t>CF Multiples_AC F FEDEX</t>
  </si>
  <si>
    <t>CapRate_AC F UPS</t>
  </si>
  <si>
    <t>AIR CARRIER - FREIGHT - UPS</t>
  </si>
  <si>
    <t>S&amp;D_AC F UPS</t>
  </si>
  <si>
    <t>Debt_AC F UPS</t>
  </si>
  <si>
    <t>CF Multiples_AC F UPS</t>
  </si>
  <si>
    <t>CapRate_AC P ALL</t>
  </si>
  <si>
    <t>AIR CARRIER - PASSENGER - ALL</t>
  </si>
  <si>
    <t>S&amp;D_AC P ALL</t>
  </si>
  <si>
    <t>Debt_AC P ALL</t>
  </si>
  <si>
    <t>CF Multiples_AC P ALL</t>
  </si>
  <si>
    <t>CapRate_AC P United</t>
  </si>
  <si>
    <t>AIR CARRIER - PASSENGER - UNITED</t>
  </si>
  <si>
    <t>S&amp;D_AC P United</t>
  </si>
  <si>
    <t>Debt_AC P United</t>
  </si>
  <si>
    <t>CF Multiples_AC P United</t>
  </si>
  <si>
    <t>CapRate_AC P Delta</t>
  </si>
  <si>
    <t>AIR CARRIER - PASSENGER - DELTA</t>
  </si>
  <si>
    <t>S&amp;D_AC P Delta</t>
  </si>
  <si>
    <t>Debt_AC P Delta</t>
  </si>
  <si>
    <t>CF Multiples_AC P Delta</t>
  </si>
  <si>
    <t>CapRate_AC P Skywest</t>
  </si>
  <si>
    <t>AIR CARRIER - PASSENGER - SKYWEST</t>
  </si>
  <si>
    <t>S&amp;D_AC P Skywest</t>
  </si>
  <si>
    <t>Debt_AC P Skywest</t>
  </si>
  <si>
    <t>CF Multiples_AC P Skywest</t>
  </si>
  <si>
    <t>CapRate_AC P American</t>
  </si>
  <si>
    <t>AIR CARRIER - PASSENGER - AMERICAN</t>
  </si>
  <si>
    <t>S&amp;D_AC P American</t>
  </si>
  <si>
    <t>Debt_AC P American</t>
  </si>
  <si>
    <t>CF Multiples_AC P American</t>
  </si>
  <si>
    <t>CapRate_AC P Southwest</t>
  </si>
  <si>
    <t>AIR CARRIER - PASSENGER - SOUTHWEST</t>
  </si>
  <si>
    <t>S&amp;D_AC P Southwest</t>
  </si>
  <si>
    <t>Debt_AC P Southwest</t>
  </si>
  <si>
    <t>CF Multiples_AC P Southwest</t>
  </si>
  <si>
    <t>CapRate_EU</t>
  </si>
  <si>
    <t>S&amp;D_EU</t>
  </si>
  <si>
    <t>Debt_EU</t>
  </si>
  <si>
    <t>CF Multiples_EU</t>
  </si>
  <si>
    <t>CapRate_EU Wholesale</t>
  </si>
  <si>
    <t>ELECTRIC UTILITIES - WHOLESALE</t>
  </si>
  <si>
    <t>S&amp;D_EU Wholesale</t>
  </si>
  <si>
    <t>Debt_EU Wholesale</t>
  </si>
  <si>
    <t>CF Multiples_EU Wholesale</t>
  </si>
  <si>
    <t>CapRate_Gas Dist</t>
  </si>
  <si>
    <t>S&amp;D_Gas Dist</t>
  </si>
  <si>
    <t>Debt_Gas Dist</t>
  </si>
  <si>
    <t>CF Multiples_Gas Dist</t>
  </si>
  <si>
    <t>CapRate_GP</t>
  </si>
  <si>
    <t>S&amp;D_GP</t>
  </si>
  <si>
    <t>Debt_GP</t>
  </si>
  <si>
    <t>CF Multiples_GP</t>
  </si>
  <si>
    <t>CapRate_LQ PL</t>
  </si>
  <si>
    <t>S&amp;D_LQ PL</t>
  </si>
  <si>
    <t>Debt_LQ PL</t>
  </si>
  <si>
    <t>CF Multiples_LQ PL</t>
  </si>
  <si>
    <t>CapRate_PW</t>
  </si>
  <si>
    <t>S&amp;D_PW</t>
  </si>
  <si>
    <t>Debt_PW</t>
  </si>
  <si>
    <t>CF Multiples_PW</t>
  </si>
  <si>
    <t>CapRate_RR</t>
  </si>
  <si>
    <t>S&amp;D_RR</t>
  </si>
  <si>
    <t>Debt_RR</t>
  </si>
  <si>
    <t>CF Multiples_RR</t>
  </si>
  <si>
    <t>B-</t>
  </si>
  <si>
    <t>B2</t>
  </si>
  <si>
    <t>A- - BBB+</t>
  </si>
  <si>
    <t>A-  -  BB+</t>
  </si>
  <si>
    <t>Ba2 / B1</t>
  </si>
  <si>
    <t>Valero Energy Corporation (VLO) - Not Used.  Considered an oil integrated company by Value Line.</t>
  </si>
  <si>
    <t>Energy Transfer LP (ET) -  Acquired SemGroup Corporation Dec. 2019.  Now called Energy Transfer LP.  Added this year.  Involved in interstate &amp; intrastate transportation of crude oil, natural gas, NGLs and refined products.</t>
  </si>
  <si>
    <t>EQM Midstream Partners LP  (EQM) - merged with Equitrans Midstream Corp 06/2020 No longer publicly traded.</t>
  </si>
  <si>
    <t xml:space="preserve">Shell Midstream Partners LP (SHLX) - Owns 2.62% of the explorer pipeline that is engaged in the transportation of oil products.  Small, but was added in Utah and Colorado.  </t>
  </si>
  <si>
    <t>Oasis Midstream Partners LP - a midstream company focused on production, gathering and processing natural gas.  Intrastate and interstate piping are small.  Used by Montana.</t>
  </si>
  <si>
    <t xml:space="preserve">Without Atlas &amp;  Air Transport </t>
  </si>
  <si>
    <t>*** FedEx balance sheet came from 10Q Nov. 30, 2020</t>
  </si>
  <si>
    <t>31.34 - 259.62</t>
  </si>
  <si>
    <t>3.29% - 8.14%</t>
  </si>
  <si>
    <t>3.01-13.53</t>
  </si>
  <si>
    <t>7.39%-33.17%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</si>
</sst>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%"/>
    <numFmt numFmtId="167" formatCode="0.0%"/>
    <numFmt numFmtId="168" formatCode="#,##0.000"/>
    <numFmt numFmtId="169" formatCode="0.0000000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Garamond"/>
      <family val="1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Helvetica Narrow Bold"/>
      <family val="2"/>
    </font>
    <font>
      <b/>
      <sz val="16"/>
      <color theme="1"/>
      <name val="Helvetica Narrow Bold"/>
      <family val="2"/>
    </font>
    <font>
      <b/>
      <sz val="9"/>
      <color theme="1"/>
      <name val="Helvetica Narrow Bold"/>
      <family val="2"/>
    </font>
    <font>
      <b/>
      <sz val="12"/>
      <color theme="1"/>
      <name val="Helvetica Narrow Bold"/>
      <family val="2"/>
    </font>
    <font>
      <b/>
      <sz val="12"/>
      <name val="Helvetica Narrow Bold"/>
      <family val="2"/>
    </font>
    <font>
      <b/>
      <i/>
      <sz val="10"/>
      <color theme="1"/>
      <name val="Helvetica Narrow Bold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CC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Garamond"/>
      <family val="1"/>
    </font>
    <font>
      <b/>
      <i/>
      <sz val="11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6"/>
      <color rgb="FF0000CC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00"/>
      <name val="Inherit"/>
    </font>
    <font>
      <b/>
      <sz val="11"/>
      <color rgb="FF0000CC"/>
      <name val="Calibri"/>
      <family val="2"/>
      <scheme val="minor"/>
    </font>
    <font>
      <b/>
      <i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Helvetica Narrow Bold"/>
      <family val="2"/>
    </font>
    <font>
      <b/>
      <sz val="12"/>
      <color rgb="FF0000CC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0"/>
      <color rgb="FF0000CC"/>
      <name val="Calibri"/>
      <family val="2"/>
      <scheme val="minor"/>
    </font>
    <font>
      <b/>
      <i/>
      <sz val="18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sz val="12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0"/>
      <color theme="9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8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8"/>
      <color rgb="FF0000CC"/>
      <name val="Calibri"/>
      <family val="2"/>
      <scheme val="minor"/>
    </font>
    <font>
      <b/>
      <sz val="11"/>
      <color rgb="FFFF0000"/>
      <name val="Helvetica Narrow Bold"/>
      <family val="2"/>
    </font>
    <font>
      <sz val="9"/>
      <name val="Calibri"/>
      <family val="2"/>
      <scheme val="minor"/>
    </font>
    <font>
      <b/>
      <sz val="14"/>
      <color theme="1"/>
      <name val="Helvetica Narrow Bold"/>
      <family val="2"/>
    </font>
    <font>
      <b/>
      <sz val="12"/>
      <color rgb="FF000000"/>
      <name val="Calibri"/>
      <family val="2"/>
    </font>
    <font>
      <b/>
      <i/>
      <sz val="12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63" fillId="0" borderId="0" applyNumberFormat="0" applyFill="0" applyBorder="0" applyAlignment="0" applyProtection="0"/>
  </cellStyleXfs>
  <cellXfs count="444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0" fillId="0" borderId="2" xfId="0" applyBorder="1"/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0" fontId="10" fillId="0" borderId="0" xfId="3" applyNumberFormat="1" applyFont="1" applyAlignment="1">
      <alignment horizontal="center"/>
    </xf>
    <xf numFmtId="10" fontId="6" fillId="0" borderId="0" xfId="3" applyNumberFormat="1" applyFont="1" applyAlignment="1">
      <alignment horizontal="center"/>
    </xf>
    <xf numFmtId="10" fontId="6" fillId="0" borderId="0" xfId="3" applyNumberFormat="1" applyFont="1"/>
    <xf numFmtId="10" fontId="4" fillId="0" borderId="0" xfId="3" applyNumberFormat="1" applyFont="1" applyFill="1"/>
    <xf numFmtId="0" fontId="10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10" fontId="10" fillId="0" borderId="0" xfId="3" applyNumberFormat="1" applyFont="1" applyFill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0" fontId="6" fillId="0" borderId="2" xfId="3" applyNumberFormat="1" applyFont="1" applyBorder="1"/>
    <xf numFmtId="10" fontId="4" fillId="0" borderId="2" xfId="3" applyNumberFormat="1" applyFont="1" applyFill="1" applyBorder="1"/>
    <xf numFmtId="10" fontId="6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/>
    <xf numFmtId="164" fontId="11" fillId="0" borderId="0" xfId="1" applyNumberFormat="1" applyFont="1"/>
    <xf numFmtId="165" fontId="11" fillId="0" borderId="0" xfId="0" applyNumberFormat="1" applyFont="1"/>
    <xf numFmtId="0" fontId="12" fillId="0" borderId="4" xfId="0" applyFont="1" applyBorder="1"/>
    <xf numFmtId="0" fontId="13" fillId="0" borderId="5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1" fillId="0" borderId="2" xfId="0" applyFont="1" applyBorder="1"/>
    <xf numFmtId="0" fontId="14" fillId="0" borderId="0" xfId="0" applyFont="1" applyBorder="1" applyAlignment="1">
      <alignment horizontal="center"/>
    </xf>
    <xf numFmtId="15" fontId="14" fillId="0" borderId="0" xfId="0" quotePrefix="1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5" fontId="14" fillId="0" borderId="2" xfId="0" applyNumberFormat="1" applyFont="1" applyBorder="1" applyAlignment="1">
      <alignment horizontal="center"/>
    </xf>
    <xf numFmtId="15" fontId="14" fillId="0" borderId="0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0" xfId="0" applyFo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3" fontId="10" fillId="0" borderId="0" xfId="0" applyNumberFormat="1" applyFont="1" applyFill="1"/>
    <xf numFmtId="0" fontId="17" fillId="0" borderId="2" xfId="0" applyFont="1" applyBorder="1"/>
    <xf numFmtId="0" fontId="17" fillId="0" borderId="0" xfId="0" applyFont="1"/>
    <xf numFmtId="0" fontId="18" fillId="0" borderId="0" xfId="0" applyFont="1"/>
    <xf numFmtId="164" fontId="6" fillId="0" borderId="0" xfId="1" applyNumberFormat="1" applyFont="1"/>
    <xf numFmtId="164" fontId="10" fillId="0" borderId="0" xfId="1" applyNumberFormat="1" applyFont="1" applyFill="1"/>
    <xf numFmtId="3" fontId="10" fillId="0" borderId="0" xfId="0" applyNumberFormat="1" applyFont="1"/>
    <xf numFmtId="10" fontId="6" fillId="0" borderId="0" xfId="3" applyNumberFormat="1" applyFont="1" applyFill="1"/>
    <xf numFmtId="164" fontId="19" fillId="0" borderId="0" xfId="1" applyNumberFormat="1" applyFont="1"/>
    <xf numFmtId="3" fontId="6" fillId="0" borderId="0" xfId="0" applyNumberFormat="1" applyFont="1"/>
    <xf numFmtId="166" fontId="6" fillId="0" borderId="0" xfId="3" applyNumberFormat="1" applyFont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20" fillId="0" borderId="0" xfId="0" applyFont="1" applyFill="1"/>
    <xf numFmtId="0" fontId="5" fillId="0" borderId="0" xfId="0" applyFont="1" applyAlignment="1">
      <alignment horizontal="right"/>
    </xf>
    <xf numFmtId="9" fontId="5" fillId="0" borderId="0" xfId="0" applyNumberFormat="1" applyFont="1"/>
    <xf numFmtId="0" fontId="21" fillId="0" borderId="0" xfId="0" applyFont="1"/>
    <xf numFmtId="0" fontId="6" fillId="0" borderId="2" xfId="0" applyFont="1" applyBorder="1"/>
    <xf numFmtId="0" fontId="22" fillId="0" borderId="0" xfId="0" applyFont="1" applyAlignment="1">
      <alignment horizontal="right"/>
    </xf>
    <xf numFmtId="10" fontId="23" fillId="0" borderId="0" xfId="3" applyNumberFormat="1" applyFont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>
      <alignment horizontal="center"/>
    </xf>
    <xf numFmtId="164" fontId="4" fillId="0" borderId="7" xfId="1" applyNumberFormat="1" applyFont="1" applyFill="1" applyBorder="1"/>
    <xf numFmtId="0" fontId="6" fillId="0" borderId="8" xfId="0" applyFont="1" applyFill="1" applyBorder="1"/>
    <xf numFmtId="164" fontId="4" fillId="0" borderId="9" xfId="1" applyNumberFormat="1" applyFont="1" applyFill="1" applyBorder="1"/>
    <xf numFmtId="0" fontId="3" fillId="0" borderId="0" xfId="0" applyFont="1"/>
    <xf numFmtId="164" fontId="18" fillId="0" borderId="0" xfId="1" applyNumberFormat="1" applyFont="1"/>
    <xf numFmtId="164" fontId="0" fillId="0" borderId="0" xfId="1" applyNumberFormat="1" applyFont="1"/>
    <xf numFmtId="0" fontId="26" fillId="0" borderId="0" xfId="0" applyFont="1"/>
    <xf numFmtId="0" fontId="9" fillId="0" borderId="2" xfId="0" applyFont="1" applyBorder="1" applyAlignment="1">
      <alignment horizontal="center"/>
    </xf>
    <xf numFmtId="2" fontId="20" fillId="0" borderId="0" xfId="0" applyNumberFormat="1" applyFont="1" applyFill="1" applyAlignment="1">
      <alignment horizontal="center"/>
    </xf>
    <xf numFmtId="10" fontId="20" fillId="0" borderId="0" xfId="3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0" fontId="20" fillId="0" borderId="0" xfId="3" applyNumberFormat="1" applyFont="1" applyFill="1"/>
    <xf numFmtId="0" fontId="0" fillId="0" borderId="10" xfId="0" applyBorder="1"/>
    <xf numFmtId="0" fontId="4" fillId="0" borderId="10" xfId="0" applyFont="1" applyBorder="1"/>
    <xf numFmtId="0" fontId="27" fillId="0" borderId="0" xfId="0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/>
    </xf>
    <xf numFmtId="43" fontId="4" fillId="0" borderId="0" xfId="1" applyFont="1" applyAlignment="1">
      <alignment horizontal="right"/>
    </xf>
    <xf numFmtId="10" fontId="4" fillId="0" borderId="0" xfId="3" applyNumberFormat="1" applyFont="1" applyAlignment="1">
      <alignment horizontal="right"/>
    </xf>
    <xf numFmtId="43" fontId="4" fillId="0" borderId="0" xfId="1" applyFont="1"/>
    <xf numFmtId="10" fontId="4" fillId="0" borderId="0" xfId="3" applyNumberFormat="1" applyFont="1"/>
    <xf numFmtId="0" fontId="28" fillId="0" borderId="0" xfId="0" applyFont="1"/>
    <xf numFmtId="10" fontId="5" fillId="0" borderId="0" xfId="3" applyNumberFormat="1" applyFont="1"/>
    <xf numFmtId="10" fontId="29" fillId="0" borderId="0" xfId="3" applyNumberFormat="1" applyFont="1"/>
    <xf numFmtId="0" fontId="30" fillId="0" borderId="0" xfId="0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31" fillId="0" borderId="6" xfId="0" applyFont="1" applyFill="1" applyBorder="1" applyAlignment="1">
      <alignment horizontal="center"/>
    </xf>
    <xf numFmtId="2" fontId="20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0" fontId="4" fillId="0" borderId="0" xfId="3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0" fontId="4" fillId="0" borderId="10" xfId="3" applyNumberFormat="1" applyFont="1" applyBorder="1"/>
    <xf numFmtId="2" fontId="4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 applyAlignment="1">
      <alignment horizontal="center"/>
    </xf>
    <xf numFmtId="10" fontId="0" fillId="0" borderId="0" xfId="3" applyNumberFormat="1" applyFont="1"/>
    <xf numFmtId="164" fontId="4" fillId="0" borderId="11" xfId="1" applyNumberFormat="1" applyFont="1" applyFill="1" applyBorder="1"/>
    <xf numFmtId="0" fontId="6" fillId="0" borderId="12" xfId="0" applyFont="1" applyFill="1" applyBorder="1"/>
    <xf numFmtId="164" fontId="4" fillId="0" borderId="13" xfId="1" applyNumberFormat="1" applyFont="1" applyFill="1" applyBorder="1"/>
    <xf numFmtId="43" fontId="4" fillId="0" borderId="0" xfId="1" applyFont="1" applyAlignment="1"/>
    <xf numFmtId="10" fontId="20" fillId="0" borderId="0" xfId="3" applyNumberFormat="1" applyFont="1" applyAlignment="1">
      <alignment vertical="center"/>
    </xf>
    <xf numFmtId="0" fontId="0" fillId="0" borderId="0" xfId="0" applyAlignment="1"/>
    <xf numFmtId="10" fontId="20" fillId="0" borderId="0" xfId="3" applyNumberFormat="1" applyFont="1" applyFill="1" applyAlignment="1">
      <alignment vertical="center"/>
    </xf>
    <xf numFmtId="0" fontId="31" fillId="0" borderId="6" xfId="0" applyFont="1" applyBorder="1" applyAlignment="1">
      <alignment horizontal="center"/>
    </xf>
    <xf numFmtId="167" fontId="10" fillId="0" borderId="0" xfId="3" applyNumberFormat="1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/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" fontId="32" fillId="0" borderId="0" xfId="0" applyNumberFormat="1" applyFont="1" applyFill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6" fillId="0" borderId="2" xfId="1" applyNumberFormat="1" applyFont="1" applyFill="1" applyBorder="1"/>
    <xf numFmtId="164" fontId="10" fillId="0" borderId="2" xfId="1" applyNumberFormat="1" applyFont="1" applyFill="1" applyBorder="1"/>
    <xf numFmtId="164" fontId="4" fillId="0" borderId="14" xfId="1" applyNumberFormat="1" applyFont="1" applyFill="1" applyBorder="1"/>
    <xf numFmtId="3" fontId="10" fillId="0" borderId="2" xfId="0" applyNumberFormat="1" applyFont="1" applyFill="1" applyBorder="1"/>
    <xf numFmtId="10" fontId="6" fillId="0" borderId="2" xfId="3" applyNumberFormat="1" applyFont="1" applyFill="1" applyBorder="1"/>
    <xf numFmtId="168" fontId="4" fillId="0" borderId="0" xfId="0" applyNumberFormat="1" applyFont="1" applyAlignment="1">
      <alignment horizontal="right"/>
    </xf>
    <xf numFmtId="0" fontId="27" fillId="0" borderId="0" xfId="0" applyFont="1"/>
    <xf numFmtId="164" fontId="4" fillId="0" borderId="0" xfId="0" applyNumberFormat="1" applyFont="1"/>
    <xf numFmtId="0" fontId="4" fillId="0" borderId="8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0" fontId="4" fillId="0" borderId="0" xfId="3" applyNumberFormat="1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3" fillId="0" borderId="0" xfId="0" applyFont="1"/>
    <xf numFmtId="2" fontId="20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10" fontId="4" fillId="0" borderId="10" xfId="3" applyNumberFormat="1" applyFont="1" applyBorder="1" applyAlignment="1">
      <alignment horizontal="center"/>
    </xf>
    <xf numFmtId="0" fontId="0" fillId="0" borderId="0" xfId="0" applyFill="1"/>
    <xf numFmtId="164" fontId="6" fillId="0" borderId="0" xfId="1" applyNumberFormat="1" applyFont="1" applyFill="1"/>
    <xf numFmtId="164" fontId="4" fillId="0" borderId="0" xfId="1" applyNumberFormat="1" applyFont="1" applyFill="1" applyBorder="1"/>
    <xf numFmtId="0" fontId="20" fillId="0" borderId="0" xfId="0" applyFont="1" applyFill="1" applyBorder="1" applyAlignment="1">
      <alignment horizontal="center"/>
    </xf>
    <xf numFmtId="10" fontId="20" fillId="0" borderId="0" xfId="3" applyNumberFormat="1" applyFont="1"/>
    <xf numFmtId="2" fontId="20" fillId="0" borderId="0" xfId="0" quotePrefix="1" applyNumberFormat="1" applyFont="1" applyFill="1" applyAlignment="1">
      <alignment horizontal="center"/>
    </xf>
    <xf numFmtId="10" fontId="5" fillId="0" borderId="0" xfId="3" applyNumberFormat="1" applyFont="1" applyFill="1"/>
    <xf numFmtId="0" fontId="20" fillId="0" borderId="0" xfId="0" applyFont="1"/>
    <xf numFmtId="3" fontId="32" fillId="0" borderId="0" xfId="0" applyNumberFormat="1" applyFont="1" applyFill="1" applyAlignment="1">
      <alignment vertical="center" wrapText="1"/>
    </xf>
    <xf numFmtId="0" fontId="34" fillId="0" borderId="0" xfId="0" applyFont="1" applyFill="1" applyAlignment="1">
      <alignment wrapText="1"/>
    </xf>
    <xf numFmtId="0" fontId="34" fillId="0" borderId="0" xfId="0" applyFont="1" applyFill="1" applyAlignment="1">
      <alignment vertical="center" wrapText="1"/>
    </xf>
    <xf numFmtId="10" fontId="6" fillId="0" borderId="0" xfId="3" applyNumberFormat="1" applyFont="1" applyFill="1" applyAlignment="1">
      <alignment horizontal="center"/>
    </xf>
    <xf numFmtId="10" fontId="6" fillId="0" borderId="0" xfId="0" applyNumberFormat="1" applyFont="1" applyFill="1" applyAlignment="1">
      <alignment horizontal="center"/>
    </xf>
    <xf numFmtId="0" fontId="6" fillId="0" borderId="0" xfId="0" applyFont="1" applyFill="1"/>
    <xf numFmtId="3" fontId="10" fillId="0" borderId="0" xfId="0" applyNumberFormat="1" applyFont="1" applyFill="1" applyAlignment="1">
      <alignment horizontal="right"/>
    </xf>
    <xf numFmtId="0" fontId="10" fillId="0" borderId="0" xfId="0" applyFont="1" applyFill="1"/>
    <xf numFmtId="164" fontId="10" fillId="0" borderId="0" xfId="1" applyNumberFormat="1" applyFont="1" applyFill="1" applyAlignment="1">
      <alignment horizontal="center"/>
    </xf>
    <xf numFmtId="10" fontId="10" fillId="0" borderId="0" xfId="3" applyNumberFormat="1" applyFont="1" applyFill="1"/>
    <xf numFmtId="0" fontId="10" fillId="0" borderId="0" xfId="0" applyFont="1" applyFill="1" applyAlignment="1">
      <alignment horizontal="right"/>
    </xf>
    <xf numFmtId="9" fontId="5" fillId="0" borderId="0" xfId="0" applyNumberFormat="1" applyFont="1" applyFill="1"/>
    <xf numFmtId="0" fontId="0" fillId="2" borderId="15" xfId="0" applyFill="1" applyBorder="1"/>
    <xf numFmtId="10" fontId="6" fillId="2" borderId="16" xfId="3" applyNumberFormat="1" applyFont="1" applyFill="1" applyBorder="1"/>
    <xf numFmtId="0" fontId="0" fillId="2" borderId="17" xfId="0" applyFill="1" applyBorder="1"/>
    <xf numFmtId="0" fontId="0" fillId="2" borderId="18" xfId="0" applyFill="1" applyBorder="1"/>
    <xf numFmtId="10" fontId="6" fillId="2" borderId="0" xfId="3" applyNumberFormat="1" applyFont="1" applyFill="1" applyBorder="1"/>
    <xf numFmtId="0" fontId="0" fillId="2" borderId="19" xfId="0" applyFill="1" applyBorder="1"/>
    <xf numFmtId="10" fontId="6" fillId="2" borderId="10" xfId="3" applyNumberFormat="1" applyFont="1" applyFill="1" applyBorder="1"/>
    <xf numFmtId="0" fontId="6" fillId="2" borderId="18" xfId="0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4" fillId="0" borderId="21" xfId="0" applyFont="1" applyFill="1" applyBorder="1"/>
    <xf numFmtId="3" fontId="4" fillId="0" borderId="22" xfId="0" applyNumberFormat="1" applyFont="1" applyFill="1" applyBorder="1" applyAlignment="1">
      <alignment horizontal="right"/>
    </xf>
    <xf numFmtId="164" fontId="4" fillId="0" borderId="22" xfId="1" applyNumberFormat="1" applyFont="1" applyFill="1" applyBorder="1" applyAlignment="1">
      <alignment horizontal="right"/>
    </xf>
    <xf numFmtId="0" fontId="5" fillId="2" borderId="23" xfId="0" applyFont="1" applyFill="1" applyBorder="1" applyAlignment="1">
      <alignment horizontal="right"/>
    </xf>
    <xf numFmtId="9" fontId="5" fillId="2" borderId="2" xfId="3" applyFont="1" applyFill="1" applyBorder="1"/>
    <xf numFmtId="0" fontId="22" fillId="2" borderId="24" xfId="0" applyFont="1" applyFill="1" applyBorder="1"/>
    <xf numFmtId="164" fontId="4" fillId="0" borderId="20" xfId="1" applyNumberFormat="1" applyFont="1" applyFill="1" applyBorder="1"/>
    <xf numFmtId="0" fontId="10" fillId="0" borderId="21" xfId="0" applyFont="1" applyFill="1" applyBorder="1"/>
    <xf numFmtId="164" fontId="4" fillId="0" borderId="22" xfId="1" applyNumberFormat="1" applyFont="1" applyFill="1" applyBorder="1"/>
    <xf numFmtId="0" fontId="6" fillId="0" borderId="21" xfId="0" applyFont="1" applyFill="1" applyBorder="1"/>
    <xf numFmtId="0" fontId="0" fillId="0" borderId="0" xfId="0" applyFill="1" applyBorder="1"/>
    <xf numFmtId="2" fontId="35" fillId="0" borderId="0" xfId="0" quotePrefix="1" applyNumberFormat="1" applyFont="1" applyFill="1" applyAlignment="1">
      <alignment horizontal="center"/>
    </xf>
    <xf numFmtId="43" fontId="4" fillId="0" borderId="0" xfId="1" applyFont="1" applyFill="1" applyAlignment="1">
      <alignment horizontal="right"/>
    </xf>
    <xf numFmtId="10" fontId="4" fillId="0" borderId="0" xfId="3" applyNumberFormat="1" applyFont="1" applyFill="1" applyAlignment="1">
      <alignment horizontal="right"/>
    </xf>
    <xf numFmtId="43" fontId="4" fillId="0" borderId="0" xfId="1" applyFont="1" applyFill="1"/>
    <xf numFmtId="2" fontId="4" fillId="0" borderId="0" xfId="0" applyNumberFormat="1" applyFont="1" applyFill="1" applyAlignment="1">
      <alignment horizontal="right"/>
    </xf>
    <xf numFmtId="0" fontId="36" fillId="0" borderId="0" xfId="0" applyFont="1"/>
    <xf numFmtId="167" fontId="10" fillId="0" borderId="0" xfId="3" applyNumberFormat="1" applyFont="1" applyAlignment="1">
      <alignment horizontal="center"/>
    </xf>
    <xf numFmtId="164" fontId="6" fillId="0" borderId="0" xfId="1" applyNumberFormat="1" applyFont="1" applyFill="1" applyBorder="1"/>
    <xf numFmtId="164" fontId="6" fillId="0" borderId="0" xfId="1" applyNumberFormat="1" applyFont="1" applyFill="1" applyBorder="1" applyAlignment="1">
      <alignment horizontal="center"/>
    </xf>
    <xf numFmtId="164" fontId="6" fillId="0" borderId="25" xfId="1" applyNumberFormat="1" applyFont="1" applyFill="1" applyBorder="1"/>
    <xf numFmtId="0" fontId="6" fillId="0" borderId="0" xfId="0" applyFont="1" applyFill="1" applyAlignment="1">
      <alignment horizontal="right"/>
    </xf>
    <xf numFmtId="164" fontId="4" fillId="0" borderId="9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37" fillId="0" borderId="0" xfId="0" applyFont="1"/>
    <xf numFmtId="10" fontId="10" fillId="0" borderId="0" xfId="3" applyNumberFormat="1" applyFont="1"/>
    <xf numFmtId="2" fontId="38" fillId="0" borderId="0" xfId="0" applyNumberFormat="1" applyFont="1" applyAlignment="1">
      <alignment horizontal="center"/>
    </xf>
    <xf numFmtId="0" fontId="10" fillId="0" borderId="0" xfId="0" applyFont="1"/>
    <xf numFmtId="0" fontId="39" fillId="0" borderId="0" xfId="0" applyFont="1"/>
    <xf numFmtId="0" fontId="14" fillId="0" borderId="1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15" fontId="14" fillId="0" borderId="4" xfId="0" applyNumberFormat="1" applyFont="1" applyBorder="1" applyAlignment="1">
      <alignment horizontal="center"/>
    </xf>
    <xf numFmtId="15" fontId="14" fillId="0" borderId="16" xfId="0" applyNumberFormat="1" applyFont="1" applyBorder="1" applyAlignment="1">
      <alignment horizontal="center"/>
    </xf>
    <xf numFmtId="15" fontId="14" fillId="0" borderId="4" xfId="0" quotePrefix="1" applyNumberFormat="1" applyFont="1" applyBorder="1" applyAlignment="1">
      <alignment horizontal="center"/>
    </xf>
    <xf numFmtId="15" fontId="14" fillId="0" borderId="16" xfId="0" quotePrefix="1" applyNumberFormat="1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15" fontId="14" fillId="0" borderId="26" xfId="0" applyNumberFormat="1" applyFont="1" applyBorder="1" applyAlignment="1">
      <alignment horizontal="center"/>
    </xf>
    <xf numFmtId="15" fontId="14" fillId="0" borderId="26" xfId="0" quotePrefix="1" applyNumberFormat="1" applyFont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0" xfId="0" applyFont="1" applyBorder="1"/>
    <xf numFmtId="0" fontId="14" fillId="0" borderId="26" xfId="0" applyFont="1" applyBorder="1"/>
    <xf numFmtId="0" fontId="6" fillId="0" borderId="18" xfId="0" applyFont="1" applyBorder="1"/>
    <xf numFmtId="0" fontId="4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0" fillId="0" borderId="26" xfId="0" applyNumberFormat="1" applyFont="1" applyFill="1" applyBorder="1" applyAlignment="1">
      <alignment horizontal="center"/>
    </xf>
    <xf numFmtId="3" fontId="10" fillId="0" borderId="26" xfId="0" applyNumberFormat="1" applyFont="1" applyFill="1" applyBorder="1"/>
    <xf numFmtId="3" fontId="10" fillId="0" borderId="0" xfId="0" applyNumberFormat="1" applyFont="1" applyFill="1" applyBorder="1"/>
    <xf numFmtId="2" fontId="10" fillId="0" borderId="0" xfId="0" applyNumberFormat="1" applyFont="1" applyFill="1" applyBorder="1" applyAlignment="1">
      <alignment horizontal="center"/>
    </xf>
    <xf numFmtId="0" fontId="10" fillId="0" borderId="18" xfId="0" applyFont="1" applyBorder="1"/>
    <xf numFmtId="3" fontId="6" fillId="0" borderId="0" xfId="0" applyNumberFormat="1" applyFont="1" applyFill="1"/>
    <xf numFmtId="0" fontId="6" fillId="0" borderId="18" xfId="0" applyFont="1" applyFill="1" applyBorder="1"/>
    <xf numFmtId="4" fontId="10" fillId="0" borderId="26" xfId="0" applyNumberFormat="1" applyFont="1" applyFill="1" applyBorder="1" applyAlignment="1">
      <alignment horizontal="center"/>
    </xf>
    <xf numFmtId="0" fontId="6" fillId="0" borderId="23" xfId="0" applyFont="1" applyBorder="1"/>
    <xf numFmtId="0" fontId="4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center"/>
    </xf>
    <xf numFmtId="3" fontId="10" fillId="0" borderId="5" xfId="0" applyNumberFormat="1" applyFont="1" applyFill="1" applyBorder="1"/>
    <xf numFmtId="0" fontId="18" fillId="0" borderId="2" xfId="0" applyFont="1" applyBorder="1"/>
    <xf numFmtId="0" fontId="6" fillId="0" borderId="0" xfId="0" applyFont="1" applyBorder="1"/>
    <xf numFmtId="164" fontId="41" fillId="0" borderId="0" xfId="1" applyNumberFormat="1" applyFont="1" applyFill="1"/>
    <xf numFmtId="164" fontId="10" fillId="0" borderId="0" xfId="1" applyNumberFormat="1" applyFont="1" applyFill="1" applyBorder="1"/>
    <xf numFmtId="10" fontId="6" fillId="0" borderId="0" xfId="0" applyNumberFormat="1" applyFont="1" applyFill="1" applyAlignment="1">
      <alignment horizontal="right"/>
    </xf>
    <xf numFmtId="9" fontId="5" fillId="0" borderId="0" xfId="3" applyFont="1" applyFill="1" applyAlignment="1">
      <alignment horizontal="right"/>
    </xf>
    <xf numFmtId="9" fontId="6" fillId="0" borderId="0" xfId="0" applyNumberFormat="1" applyFont="1"/>
    <xf numFmtId="10" fontId="20" fillId="0" borderId="0" xfId="3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22" fillId="0" borderId="0" xfId="0" applyFont="1"/>
    <xf numFmtId="0" fontId="5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 vertical="center"/>
    </xf>
    <xf numFmtId="2" fontId="4" fillId="0" borderId="0" xfId="0" applyNumberFormat="1" applyFont="1" applyFill="1"/>
    <xf numFmtId="43" fontId="4" fillId="0" borderId="0" xfId="1" applyNumberFormat="1" applyFont="1" applyFill="1"/>
    <xf numFmtId="10" fontId="4" fillId="0" borderId="0" xfId="0" applyNumberFormat="1" applyFont="1" applyFill="1"/>
    <xf numFmtId="0" fontId="42" fillId="0" borderId="0" xfId="0" applyFont="1" applyAlignment="1">
      <alignment horizontal="center"/>
    </xf>
    <xf numFmtId="0" fontId="43" fillId="0" borderId="0" xfId="0" applyFont="1"/>
    <xf numFmtId="0" fontId="4" fillId="0" borderId="18" xfId="0" applyFont="1" applyBorder="1"/>
    <xf numFmtId="0" fontId="4" fillId="0" borderId="18" xfId="0" applyFont="1" applyFill="1" applyBorder="1"/>
    <xf numFmtId="0" fontId="4" fillId="0" borderId="2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26" xfId="0" applyNumberFormat="1" applyFont="1" applyFill="1" applyBorder="1"/>
    <xf numFmtId="0" fontId="20" fillId="0" borderId="18" xfId="0" applyFont="1" applyBorder="1"/>
    <xf numFmtId="0" fontId="4" fillId="0" borderId="23" xfId="0" applyFont="1" applyBorder="1"/>
    <xf numFmtId="4" fontId="10" fillId="0" borderId="5" xfId="0" applyNumberFormat="1" applyFont="1" applyFill="1" applyBorder="1" applyAlignment="1">
      <alignment horizontal="center"/>
    </xf>
    <xf numFmtId="2" fontId="10" fillId="0" borderId="2" xfId="0" applyNumberFormat="1" applyFont="1" applyFill="1" applyBorder="1" applyAlignment="1">
      <alignment horizontal="center"/>
    </xf>
    <xf numFmtId="0" fontId="17" fillId="0" borderId="4" xfId="0" applyFont="1" applyBorder="1"/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7" fillId="0" borderId="26" xfId="0" applyFont="1" applyBorder="1"/>
    <xf numFmtId="0" fontId="6" fillId="0" borderId="26" xfId="0" applyFont="1" applyBorder="1" applyAlignment="1">
      <alignment horizontal="center"/>
    </xf>
    <xf numFmtId="164" fontId="10" fillId="0" borderId="26" xfId="1" applyNumberFormat="1" applyFont="1" applyFill="1" applyBorder="1"/>
    <xf numFmtId="10" fontId="10" fillId="0" borderId="26" xfId="3" applyNumberFormat="1" applyFont="1" applyFill="1" applyBorder="1"/>
    <xf numFmtId="0" fontId="6" fillId="0" borderId="26" xfId="0" applyFont="1" applyFill="1" applyBorder="1" applyAlignment="1">
      <alignment horizontal="center"/>
    </xf>
    <xf numFmtId="164" fontId="41" fillId="0" borderId="26" xfId="1" applyNumberFormat="1" applyFont="1" applyFill="1" applyBorder="1"/>
    <xf numFmtId="0" fontId="6" fillId="0" borderId="5" xfId="0" applyFont="1" applyBorder="1" applyAlignment="1">
      <alignment horizontal="center"/>
    </xf>
    <xf numFmtId="164" fontId="10" fillId="0" borderId="5" xfId="1" applyNumberFormat="1" applyFont="1" applyFill="1" applyBorder="1"/>
    <xf numFmtId="10" fontId="10" fillId="0" borderId="5" xfId="3" applyNumberFormat="1" applyFont="1" applyFill="1" applyBorder="1"/>
    <xf numFmtId="15" fontId="4" fillId="0" borderId="0" xfId="0" applyNumberFormat="1" applyFont="1" applyAlignment="1">
      <alignment horizontal="center"/>
    </xf>
    <xf numFmtId="0" fontId="20" fillId="0" borderId="0" xfId="0" applyFont="1" applyAlignment="1">
      <alignment horizontal="right" vertical="center"/>
    </xf>
    <xf numFmtId="2" fontId="4" fillId="0" borderId="0" xfId="0" applyNumberFormat="1" applyFont="1"/>
    <xf numFmtId="43" fontId="4" fillId="0" borderId="0" xfId="1" applyNumberFormat="1" applyFont="1"/>
    <xf numFmtId="10" fontId="4" fillId="0" borderId="0" xfId="0" applyNumberFormat="1" applyFo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0" fillId="0" borderId="0" xfId="0" applyBorder="1"/>
    <xf numFmtId="0" fontId="13" fillId="0" borderId="4" xfId="0" applyFont="1" applyBorder="1" applyAlignment="1">
      <alignment horizontal="center"/>
    </xf>
    <xf numFmtId="0" fontId="11" fillId="0" borderId="4" xfId="0" applyFont="1" applyBorder="1"/>
    <xf numFmtId="3" fontId="6" fillId="0" borderId="0" xfId="0" applyNumberFormat="1" applyFont="1" applyFill="1" applyBorder="1"/>
    <xf numFmtId="3" fontId="6" fillId="0" borderId="26" xfId="0" applyNumberFormat="1" applyFont="1" applyFill="1" applyBorder="1" applyAlignment="1">
      <alignment horizontal="right" vertical="center"/>
    </xf>
    <xf numFmtId="164" fontId="17" fillId="0" borderId="0" xfId="1" applyNumberFormat="1" applyFont="1"/>
    <xf numFmtId="0" fontId="10" fillId="0" borderId="0" xfId="0" applyFont="1" applyBorder="1" applyAlignment="1">
      <alignment horizontal="center"/>
    </xf>
    <xf numFmtId="164" fontId="6" fillId="0" borderId="26" xfId="1" applyNumberFormat="1" applyFont="1" applyFill="1" applyBorder="1"/>
    <xf numFmtId="0" fontId="20" fillId="0" borderId="26" xfId="0" applyFont="1" applyBorder="1" applyAlignment="1">
      <alignment horizontal="center"/>
    </xf>
    <xf numFmtId="0" fontId="20" fillId="0" borderId="23" xfId="0" applyFont="1" applyBorder="1"/>
    <xf numFmtId="0" fontId="40" fillId="0" borderId="0" xfId="0" applyFont="1" applyBorder="1" applyAlignment="1">
      <alignment horizontal="center"/>
    </xf>
    <xf numFmtId="164" fontId="10" fillId="0" borderId="0" xfId="1" applyNumberFormat="1" applyFont="1"/>
    <xf numFmtId="0" fontId="48" fillId="0" borderId="2" xfId="0" applyFont="1" applyBorder="1"/>
    <xf numFmtId="164" fontId="0" fillId="0" borderId="0" xfId="1" applyNumberFormat="1" applyFont="1" applyFill="1"/>
    <xf numFmtId="0" fontId="49" fillId="0" borderId="0" xfId="0" applyFont="1" applyAlignment="1">
      <alignment horizontal="right"/>
    </xf>
    <xf numFmtId="0" fontId="9" fillId="0" borderId="3" xfId="0" applyFont="1" applyFill="1" applyBorder="1" applyAlignment="1">
      <alignment horizontal="center"/>
    </xf>
    <xf numFmtId="2" fontId="20" fillId="0" borderId="0" xfId="0" quotePrefix="1" applyNumberFormat="1" applyFont="1" applyAlignment="1">
      <alignment horizontal="center"/>
    </xf>
    <xf numFmtId="2" fontId="0" fillId="0" borderId="0" xfId="0" applyNumberFormat="1"/>
    <xf numFmtId="2" fontId="6" fillId="0" borderId="10" xfId="0" applyNumberFormat="1" applyFont="1" applyBorder="1" applyAlignment="1">
      <alignment horizontal="center"/>
    </xf>
    <xf numFmtId="2" fontId="4" fillId="0" borderId="0" xfId="0" applyNumberFormat="1" applyFont="1" applyAlignment="1"/>
    <xf numFmtId="0" fontId="43" fillId="0" borderId="31" xfId="0" applyFont="1" applyBorder="1"/>
    <xf numFmtId="0" fontId="0" fillId="0" borderId="32" xfId="0" applyBorder="1"/>
    <xf numFmtId="0" fontId="0" fillId="0" borderId="33" xfId="0" applyBorder="1"/>
    <xf numFmtId="0" fontId="43" fillId="0" borderId="20" xfId="0" applyFont="1" applyBorder="1"/>
    <xf numFmtId="0" fontId="0" fillId="0" borderId="22" xfId="0" applyBorder="1"/>
    <xf numFmtId="0" fontId="43" fillId="0" borderId="20" xfId="0" applyFont="1" applyFill="1" applyBorder="1"/>
    <xf numFmtId="0" fontId="0" fillId="0" borderId="22" xfId="0" applyFill="1" applyBorder="1"/>
    <xf numFmtId="0" fontId="43" fillId="0" borderId="11" xfId="0" applyFont="1" applyBorder="1"/>
    <xf numFmtId="0" fontId="0" fillId="0" borderId="3" xfId="0" applyBorder="1"/>
    <xf numFmtId="0" fontId="0" fillId="0" borderId="13" xfId="0" applyBorder="1"/>
    <xf numFmtId="0" fontId="46" fillId="0" borderId="31" xfId="0" applyFont="1" applyBorder="1"/>
    <xf numFmtId="0" fontId="46" fillId="0" borderId="20" xfId="0" applyFont="1" applyBorder="1"/>
    <xf numFmtId="0" fontId="46" fillId="0" borderId="11" xfId="0" applyFont="1" applyBorder="1"/>
    <xf numFmtId="0" fontId="50" fillId="0" borderId="31" xfId="0" applyFont="1" applyFill="1" applyBorder="1"/>
    <xf numFmtId="0" fontId="50" fillId="0" borderId="20" xfId="0" applyFont="1" applyFill="1" applyBorder="1"/>
    <xf numFmtId="0" fontId="50" fillId="0" borderId="11" xfId="0" applyFont="1" applyFill="1" applyBorder="1"/>
    <xf numFmtId="2" fontId="6" fillId="0" borderId="0" xfId="0" applyNumberFormat="1" applyFont="1" applyFill="1" applyAlignment="1">
      <alignment horizontal="center"/>
    </xf>
    <xf numFmtId="0" fontId="51" fillId="0" borderId="0" xfId="0" applyFont="1"/>
    <xf numFmtId="0" fontId="11" fillId="0" borderId="17" xfId="0" applyFont="1" applyBorder="1"/>
    <xf numFmtId="15" fontId="14" fillId="0" borderId="19" xfId="0" quotePrefix="1" applyNumberFormat="1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19" xfId="0" applyFont="1" applyBorder="1"/>
    <xf numFmtId="3" fontId="10" fillId="0" borderId="19" xfId="0" applyNumberFormat="1" applyFont="1" applyFill="1" applyBorder="1"/>
    <xf numFmtId="3" fontId="32" fillId="0" borderId="0" xfId="0" applyNumberFormat="1" applyFont="1" applyFill="1" applyBorder="1"/>
    <xf numFmtId="3" fontId="32" fillId="0" borderId="19" xfId="0" applyNumberFormat="1" applyFont="1" applyFill="1" applyBorder="1" applyAlignment="1">
      <alignment horizontal="right" vertical="center" wrapText="1"/>
    </xf>
    <xf numFmtId="0" fontId="17" fillId="0" borderId="5" xfId="0" applyFont="1" applyBorder="1"/>
    <xf numFmtId="0" fontId="17" fillId="0" borderId="24" xfId="0" applyFont="1" applyBorder="1"/>
    <xf numFmtId="0" fontId="6" fillId="0" borderId="0" xfId="0" applyFont="1" applyBorder="1" applyAlignment="1">
      <alignment horizontal="left"/>
    </xf>
    <xf numFmtId="0" fontId="9" fillId="0" borderId="0" xfId="0" applyFont="1"/>
    <xf numFmtId="10" fontId="5" fillId="0" borderId="0" xfId="0" applyNumberFormat="1" applyFont="1" applyFill="1"/>
    <xf numFmtId="0" fontId="0" fillId="0" borderId="0" xfId="0" applyFont="1"/>
    <xf numFmtId="0" fontId="9" fillId="0" borderId="0" xfId="0" applyFont="1" applyBorder="1" applyAlignment="1">
      <alignment horizontal="center"/>
    </xf>
    <xf numFmtId="2" fontId="45" fillId="0" borderId="0" xfId="0" applyNumberFormat="1" applyFont="1" applyFill="1" applyAlignment="1">
      <alignment horizontal="center"/>
    </xf>
    <xf numFmtId="10" fontId="45" fillId="0" borderId="0" xfId="3" applyNumberFormat="1" applyFont="1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3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quotePrefix="1" applyFill="1" applyAlignment="1">
      <alignment horizontal="center"/>
    </xf>
    <xf numFmtId="0" fontId="6" fillId="0" borderId="10" xfId="0" applyFont="1" applyBorder="1" applyAlignment="1">
      <alignment horizontal="center"/>
    </xf>
    <xf numFmtId="10" fontId="20" fillId="0" borderId="10" xfId="3" applyNumberFormat="1" applyFont="1" applyBorder="1"/>
    <xf numFmtId="43" fontId="35" fillId="0" borderId="0" xfId="1" applyFont="1"/>
    <xf numFmtId="44" fontId="48" fillId="0" borderId="0" xfId="2" applyFont="1" applyFill="1" applyAlignment="1">
      <alignment horizontal="center"/>
    </xf>
    <xf numFmtId="2" fontId="48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0" fontId="17" fillId="0" borderId="0" xfId="3" applyNumberFormat="1" applyFont="1" applyFill="1" applyAlignment="1">
      <alignment horizontal="center"/>
    </xf>
    <xf numFmtId="10" fontId="48" fillId="0" borderId="0" xfId="3" applyNumberFormat="1" applyFont="1" applyFill="1" applyAlignment="1">
      <alignment horizontal="center"/>
    </xf>
    <xf numFmtId="0" fontId="0" fillId="0" borderId="10" xfId="0" applyFill="1" applyBorder="1"/>
    <xf numFmtId="0" fontId="4" fillId="0" borderId="10" xfId="0" applyFont="1" applyFill="1" applyBorder="1"/>
    <xf numFmtId="0" fontId="0" fillId="0" borderId="10" xfId="0" applyFont="1" applyFill="1" applyBorder="1"/>
    <xf numFmtId="0" fontId="45" fillId="0" borderId="0" xfId="0" applyFont="1" applyFill="1" applyAlignment="1">
      <alignment horizontal="right" vertical="center"/>
    </xf>
    <xf numFmtId="44" fontId="1" fillId="0" borderId="0" xfId="2" applyFont="1" applyFill="1"/>
    <xf numFmtId="2" fontId="0" fillId="0" borderId="0" xfId="0" applyNumberFormat="1" applyFont="1" applyFill="1"/>
    <xf numFmtId="10" fontId="1" fillId="0" borderId="0" xfId="3" applyNumberFormat="1" applyFont="1" applyFill="1"/>
    <xf numFmtId="43" fontId="1" fillId="0" borderId="0" xfId="1" applyFont="1" applyFill="1"/>
    <xf numFmtId="0" fontId="41" fillId="0" borderId="0" xfId="0" applyFont="1"/>
    <xf numFmtId="0" fontId="35" fillId="0" borderId="0" xfId="0" applyFont="1" applyAlignment="1">
      <alignment horizontal="center"/>
    </xf>
    <xf numFmtId="44" fontId="10" fillId="0" borderId="0" xfId="2" applyFont="1" applyAlignment="1">
      <alignment horizontal="center"/>
    </xf>
    <xf numFmtId="2" fontId="5" fillId="0" borderId="0" xfId="0" applyNumberFormat="1" applyFont="1" applyAlignment="1">
      <alignment horizontal="center"/>
    </xf>
    <xf numFmtId="10" fontId="51" fillId="0" borderId="0" xfId="3" applyNumberFormat="1" applyFont="1"/>
    <xf numFmtId="0" fontId="52" fillId="0" borderId="0" xfId="0" applyFont="1"/>
    <xf numFmtId="0" fontId="53" fillId="0" borderId="0" xfId="0" applyFont="1"/>
    <xf numFmtId="0" fontId="46" fillId="0" borderId="0" xfId="0" applyFont="1" applyFill="1"/>
    <xf numFmtId="0" fontId="54" fillId="0" borderId="0" xfId="0" applyFont="1"/>
    <xf numFmtId="0" fontId="43" fillId="0" borderId="0" xfId="0" applyFont="1" applyFill="1"/>
    <xf numFmtId="164" fontId="55" fillId="0" borderId="0" xfId="1" applyNumberFormat="1" applyFont="1"/>
    <xf numFmtId="3" fontId="32" fillId="0" borderId="26" xfId="0" applyNumberFormat="1" applyFont="1" applyFill="1" applyBorder="1" applyAlignment="1">
      <alignment horizontal="right" vertical="center" wrapText="1"/>
    </xf>
    <xf numFmtId="3" fontId="32" fillId="0" borderId="26" xfId="0" applyNumberFormat="1" applyFont="1" applyFill="1" applyBorder="1"/>
    <xf numFmtId="0" fontId="10" fillId="0" borderId="0" xfId="0" applyFont="1" applyBorder="1" applyAlignment="1">
      <alignment horizontal="left"/>
    </xf>
    <xf numFmtId="3" fontId="6" fillId="0" borderId="2" xfId="0" applyNumberFormat="1" applyFont="1" applyFill="1" applyBorder="1"/>
    <xf numFmtId="2" fontId="0" fillId="0" borderId="0" xfId="0" applyNumberFormat="1" applyFill="1" applyAlignment="1">
      <alignment horizontal="center"/>
    </xf>
    <xf numFmtId="43" fontId="4" fillId="0" borderId="0" xfId="1" applyFont="1" applyFill="1" applyAlignment="1">
      <alignment horizontal="center"/>
    </xf>
    <xf numFmtId="0" fontId="56" fillId="0" borderId="3" xfId="0" applyFont="1" applyBorder="1" applyAlignment="1">
      <alignment horizontal="center"/>
    </xf>
    <xf numFmtId="44" fontId="10" fillId="0" borderId="0" xfId="2" applyFont="1" applyFill="1" applyAlignment="1">
      <alignment horizontal="center"/>
    </xf>
    <xf numFmtId="0" fontId="4" fillId="0" borderId="0" xfId="0" applyFont="1" applyBorder="1"/>
    <xf numFmtId="44" fontId="4" fillId="0" borderId="0" xfId="2" applyFont="1" applyFill="1"/>
    <xf numFmtId="0" fontId="36" fillId="0" borderId="0" xfId="0" applyFont="1" applyAlignment="1">
      <alignment horizontal="center"/>
    </xf>
    <xf numFmtId="0" fontId="45" fillId="0" borderId="0" xfId="0" applyFont="1" applyFill="1"/>
    <xf numFmtId="2" fontId="6" fillId="0" borderId="2" xfId="0" applyNumberFormat="1" applyFont="1" applyFill="1" applyBorder="1" applyAlignment="1">
      <alignment horizontal="center"/>
    </xf>
    <xf numFmtId="0" fontId="57" fillId="0" borderId="0" xfId="0" applyFont="1" applyBorder="1" applyAlignment="1">
      <alignment horizontal="center"/>
    </xf>
    <xf numFmtId="3" fontId="58" fillId="0" borderId="0" xfId="0" applyNumberFormat="1" applyFont="1" applyFill="1" applyAlignment="1">
      <alignment horizontal="right"/>
    </xf>
    <xf numFmtId="164" fontId="6" fillId="0" borderId="0" xfId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 vertical="center"/>
    </xf>
    <xf numFmtId="164" fontId="10" fillId="0" borderId="0" xfId="1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59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43" fontId="4" fillId="0" borderId="0" xfId="1" applyNumberFormat="1" applyFont="1" applyFill="1" applyAlignment="1">
      <alignment horizontal="right"/>
    </xf>
    <xf numFmtId="43" fontId="4" fillId="0" borderId="0" xfId="1" applyFont="1" applyFill="1" applyAlignment="1">
      <alignment horizontal="right" vertical="center"/>
    </xf>
    <xf numFmtId="10" fontId="4" fillId="0" borderId="0" xfId="0" applyNumberFormat="1" applyFont="1" applyFill="1" applyAlignment="1">
      <alignment horizontal="right"/>
    </xf>
    <xf numFmtId="0" fontId="38" fillId="0" borderId="0" xfId="0" applyFont="1" applyAlignment="1"/>
    <xf numFmtId="0" fontId="60" fillId="0" borderId="0" xfId="0" applyFont="1"/>
    <xf numFmtId="0" fontId="14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right"/>
    </xf>
    <xf numFmtId="164" fontId="4" fillId="0" borderId="0" xfId="1" applyNumberFormat="1" applyFont="1" applyFill="1"/>
    <xf numFmtId="3" fontId="18" fillId="0" borderId="0" xfId="0" applyNumberFormat="1" applyFont="1" applyFill="1"/>
    <xf numFmtId="3" fontId="0" fillId="0" borderId="0" xfId="0" applyNumberFormat="1"/>
    <xf numFmtId="169" fontId="17" fillId="0" borderId="0" xfId="0" applyNumberFormat="1" applyFont="1"/>
    <xf numFmtId="0" fontId="17" fillId="0" borderId="0" xfId="0" applyFont="1" applyFill="1"/>
    <xf numFmtId="15" fontId="14" fillId="0" borderId="0" xfId="0" quotePrefix="1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0" fillId="0" borderId="2" xfId="0" applyFill="1" applyBorder="1"/>
    <xf numFmtId="164" fontId="0" fillId="0" borderId="0" xfId="0" applyNumberFormat="1"/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4" fontId="0" fillId="0" borderId="0" xfId="1" applyNumberFormat="1" applyFont="1" applyFill="1" applyBorder="1"/>
    <xf numFmtId="0" fontId="61" fillId="0" borderId="0" xfId="0" applyFont="1" applyAlignment="1">
      <alignment horizontal="right"/>
    </xf>
    <xf numFmtId="10" fontId="61" fillId="0" borderId="0" xfId="3" applyNumberFormat="1" applyFont="1" applyFill="1"/>
    <xf numFmtId="0" fontId="62" fillId="0" borderId="0" xfId="0" applyFont="1" applyBorder="1" applyAlignment="1">
      <alignment horizontal="center"/>
    </xf>
    <xf numFmtId="43" fontId="4" fillId="0" borderId="0" xfId="1" applyFont="1" applyFill="1" applyAlignment="1"/>
    <xf numFmtId="0" fontId="2" fillId="0" borderId="1" xfId="4"/>
    <xf numFmtId="0" fontId="63" fillId="0" borderId="0" xfId="5" quotePrefix="1"/>
    <xf numFmtId="0" fontId="63" fillId="0" borderId="0" xfId="5"/>
    <xf numFmtId="0" fontId="10" fillId="0" borderId="2" xfId="0" applyFont="1" applyBorder="1" applyAlignment="1">
      <alignment horizontal="left"/>
    </xf>
    <xf numFmtId="0" fontId="10" fillId="0" borderId="2" xfId="0" applyFont="1" applyBorder="1"/>
    <xf numFmtId="0" fontId="64" fillId="0" borderId="0" xfId="0" applyFont="1" applyFill="1"/>
    <xf numFmtId="10" fontId="65" fillId="0" borderId="0" xfId="3" applyNumberFormat="1" applyFont="1" applyFill="1" applyAlignment="1">
      <alignment horizontal="left"/>
    </xf>
    <xf numFmtId="2" fontId="66" fillId="0" borderId="0" xfId="0" applyNumberFormat="1" applyFont="1" applyFill="1" applyAlignment="1"/>
    <xf numFmtId="0" fontId="65" fillId="0" borderId="0" xfId="0" applyFont="1" applyFill="1"/>
    <xf numFmtId="0" fontId="13" fillId="0" borderId="17" xfId="0" applyFont="1" applyBorder="1" applyAlignment="1">
      <alignment horizontal="center"/>
    </xf>
    <xf numFmtId="15" fontId="14" fillId="0" borderId="19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Alignment="1"/>
    <xf numFmtId="15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Comma" xfId="1" builtinId="3"/>
    <cellStyle name="Currency" xfId="2" builtinId="4"/>
    <cellStyle name="Heading 1" xfId="4" builtinId="16"/>
    <cellStyle name="Hyperlink" xfId="5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7.xml"/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8.xml"/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9.xml"/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5"/>
  <sheetViews>
    <sheetView topLeftCell="A25" workbookViewId="0">
      <selection activeCell="A42" sqref="A42"/>
    </sheetView>
  </sheetViews>
  <sheetFormatPr defaultRowHeight="15"/>
  <cols>
    <col min="1" max="1" width="27.42578125" bestFit="1" customWidth="1"/>
    <col min="2" max="2" width="6.85546875" customWidth="1"/>
    <col min="3" max="3" width="46" bestFit="1" customWidth="1"/>
  </cols>
  <sheetData>
    <row r="1" spans="1:3" ht="20.25" thickBot="1">
      <c r="A1" s="425" t="s">
        <v>483</v>
      </c>
      <c r="B1" s="425"/>
      <c r="C1" s="425"/>
    </row>
    <row r="2" spans="1:3" ht="15.75" thickTop="1">
      <c r="A2" s="426" t="s">
        <v>484</v>
      </c>
      <c r="B2" s="426"/>
      <c r="C2" t="s">
        <v>485</v>
      </c>
    </row>
    <row r="3" spans="1:3">
      <c r="A3" s="426" t="s">
        <v>486</v>
      </c>
      <c r="B3" s="426"/>
      <c r="C3" t="s">
        <v>485</v>
      </c>
    </row>
    <row r="4" spans="1:3">
      <c r="A4" s="426" t="s">
        <v>487</v>
      </c>
      <c r="B4" s="426"/>
      <c r="C4" t="s">
        <v>485</v>
      </c>
    </row>
    <row r="5" spans="1:3">
      <c r="A5" s="426" t="s">
        <v>488</v>
      </c>
      <c r="B5" s="426"/>
      <c r="C5" t="s">
        <v>485</v>
      </c>
    </row>
    <row r="6" spans="1:3">
      <c r="A6" s="426" t="s">
        <v>489</v>
      </c>
      <c r="B6" s="426"/>
      <c r="C6" t="s">
        <v>490</v>
      </c>
    </row>
    <row r="7" spans="1:3">
      <c r="A7" s="426" t="s">
        <v>491</v>
      </c>
      <c r="B7" s="426"/>
      <c r="C7" t="s">
        <v>490</v>
      </c>
    </row>
    <row r="8" spans="1:3">
      <c r="A8" s="426" t="s">
        <v>492</v>
      </c>
      <c r="B8" s="426"/>
      <c r="C8" t="s">
        <v>490</v>
      </c>
    </row>
    <row r="9" spans="1:3">
      <c r="A9" s="426" t="s">
        <v>493</v>
      </c>
      <c r="B9" s="426"/>
      <c r="C9" t="s">
        <v>490</v>
      </c>
    </row>
    <row r="10" spans="1:3">
      <c r="A10" s="426" t="s">
        <v>494</v>
      </c>
      <c r="B10" s="426"/>
      <c r="C10" t="s">
        <v>495</v>
      </c>
    </row>
    <row r="11" spans="1:3">
      <c r="A11" s="426" t="s">
        <v>496</v>
      </c>
      <c r="B11" s="426"/>
      <c r="C11" t="s">
        <v>495</v>
      </c>
    </row>
    <row r="12" spans="1:3">
      <c r="A12" s="426" t="s">
        <v>497</v>
      </c>
      <c r="B12" s="426"/>
      <c r="C12" t="s">
        <v>495</v>
      </c>
    </row>
    <row r="13" spans="1:3">
      <c r="A13" s="426" t="s">
        <v>498</v>
      </c>
      <c r="B13" s="426"/>
      <c r="C13" t="s">
        <v>495</v>
      </c>
    </row>
    <row r="14" spans="1:3">
      <c r="A14" s="426" t="s">
        <v>499</v>
      </c>
      <c r="B14" s="426"/>
      <c r="C14" t="s">
        <v>500</v>
      </c>
    </row>
    <row r="15" spans="1:3">
      <c r="A15" s="426" t="s">
        <v>501</v>
      </c>
      <c r="B15" s="426"/>
      <c r="C15" t="s">
        <v>500</v>
      </c>
    </row>
    <row r="16" spans="1:3">
      <c r="A16" s="426" t="s">
        <v>502</v>
      </c>
      <c r="B16" s="426"/>
      <c r="C16" t="s">
        <v>500</v>
      </c>
    </row>
    <row r="17" spans="1:3">
      <c r="A17" s="426" t="s">
        <v>503</v>
      </c>
      <c r="B17" s="426"/>
      <c r="C17" t="s">
        <v>500</v>
      </c>
    </row>
    <row r="18" spans="1:3">
      <c r="A18" s="426" t="s">
        <v>504</v>
      </c>
      <c r="B18" s="426"/>
      <c r="C18" t="s">
        <v>505</v>
      </c>
    </row>
    <row r="19" spans="1:3">
      <c r="A19" s="426" t="s">
        <v>506</v>
      </c>
      <c r="B19" s="426"/>
      <c r="C19" t="s">
        <v>505</v>
      </c>
    </row>
    <row r="20" spans="1:3">
      <c r="A20" s="426" t="s">
        <v>507</v>
      </c>
      <c r="B20" s="426"/>
      <c r="C20" t="s">
        <v>505</v>
      </c>
    </row>
    <row r="21" spans="1:3">
      <c r="A21" s="426" t="s">
        <v>508</v>
      </c>
      <c r="B21" s="426"/>
      <c r="C21" t="s">
        <v>505</v>
      </c>
    </row>
    <row r="22" spans="1:3">
      <c r="A22" s="426" t="s">
        <v>509</v>
      </c>
      <c r="B22" s="426"/>
      <c r="C22" t="s">
        <v>510</v>
      </c>
    </row>
    <row r="23" spans="1:3">
      <c r="A23" s="426" t="s">
        <v>511</v>
      </c>
      <c r="B23" s="426"/>
      <c r="C23" t="s">
        <v>510</v>
      </c>
    </row>
    <row r="24" spans="1:3">
      <c r="A24" s="426" t="s">
        <v>512</v>
      </c>
      <c r="B24" s="426"/>
      <c r="C24" t="s">
        <v>510</v>
      </c>
    </row>
    <row r="25" spans="1:3">
      <c r="A25" s="426" t="s">
        <v>513</v>
      </c>
      <c r="B25" s="426"/>
      <c r="C25" t="s">
        <v>510</v>
      </c>
    </row>
    <row r="26" spans="1:3">
      <c r="A26" s="426" t="s">
        <v>514</v>
      </c>
      <c r="B26" s="426"/>
      <c r="C26" t="s">
        <v>515</v>
      </c>
    </row>
    <row r="27" spans="1:3">
      <c r="A27" s="426" t="s">
        <v>516</v>
      </c>
      <c r="B27" s="426"/>
      <c r="C27" t="s">
        <v>515</v>
      </c>
    </row>
    <row r="28" spans="1:3">
      <c r="A28" s="426" t="s">
        <v>517</v>
      </c>
      <c r="B28" s="426"/>
      <c r="C28" t="s">
        <v>515</v>
      </c>
    </row>
    <row r="29" spans="1:3">
      <c r="A29" s="426" t="s">
        <v>518</v>
      </c>
      <c r="B29" s="426"/>
      <c r="C29" t="s">
        <v>515</v>
      </c>
    </row>
    <row r="30" spans="1:3">
      <c r="A30" s="426" t="s">
        <v>519</v>
      </c>
      <c r="B30" s="426"/>
      <c r="C30" t="s">
        <v>520</v>
      </c>
    </row>
    <row r="31" spans="1:3">
      <c r="A31" s="426" t="s">
        <v>521</v>
      </c>
      <c r="B31" s="426"/>
      <c r="C31" t="s">
        <v>520</v>
      </c>
    </row>
    <row r="32" spans="1:3">
      <c r="A32" s="426" t="s">
        <v>522</v>
      </c>
      <c r="B32" s="426"/>
      <c r="C32" t="s">
        <v>520</v>
      </c>
    </row>
    <row r="33" spans="1:3">
      <c r="A33" s="426" t="s">
        <v>523</v>
      </c>
      <c r="B33" s="426"/>
      <c r="C33" t="s">
        <v>520</v>
      </c>
    </row>
    <row r="34" spans="1:3">
      <c r="A34" s="426" t="s">
        <v>524</v>
      </c>
      <c r="B34" s="426"/>
      <c r="C34" t="s">
        <v>525</v>
      </c>
    </row>
    <row r="35" spans="1:3">
      <c r="A35" s="426" t="s">
        <v>526</v>
      </c>
      <c r="B35" s="426"/>
      <c r="C35" t="s">
        <v>525</v>
      </c>
    </row>
    <row r="36" spans="1:3">
      <c r="A36" s="426" t="s">
        <v>527</v>
      </c>
      <c r="B36" s="426"/>
      <c r="C36" t="s">
        <v>525</v>
      </c>
    </row>
    <row r="37" spans="1:3">
      <c r="A37" s="426" t="s">
        <v>528</v>
      </c>
      <c r="B37" s="426"/>
      <c r="C37" t="s">
        <v>525</v>
      </c>
    </row>
    <row r="38" spans="1:3">
      <c r="A38" s="427" t="s">
        <v>529</v>
      </c>
      <c r="B38" s="427"/>
      <c r="C38" t="s">
        <v>165</v>
      </c>
    </row>
    <row r="39" spans="1:3">
      <c r="A39" s="426" t="s">
        <v>530</v>
      </c>
      <c r="B39" s="426"/>
      <c r="C39" t="s">
        <v>165</v>
      </c>
    </row>
    <row r="40" spans="1:3">
      <c r="A40" s="427" t="s">
        <v>531</v>
      </c>
      <c r="B40" s="427"/>
      <c r="C40" t="s">
        <v>165</v>
      </c>
    </row>
    <row r="41" spans="1:3">
      <c r="A41" s="426" t="s">
        <v>532</v>
      </c>
      <c r="B41" s="426"/>
      <c r="C41" t="s">
        <v>165</v>
      </c>
    </row>
    <row r="42" spans="1:3">
      <c r="A42" s="426" t="s">
        <v>533</v>
      </c>
      <c r="B42" s="426"/>
      <c r="C42" t="s">
        <v>534</v>
      </c>
    </row>
    <row r="43" spans="1:3">
      <c r="A43" s="426" t="s">
        <v>535</v>
      </c>
      <c r="B43" s="426"/>
      <c r="C43" t="s">
        <v>534</v>
      </c>
    </row>
    <row r="44" spans="1:3">
      <c r="A44" s="426" t="s">
        <v>536</v>
      </c>
      <c r="B44" s="426"/>
      <c r="C44" t="s">
        <v>534</v>
      </c>
    </row>
    <row r="45" spans="1:3">
      <c r="A45" s="426" t="s">
        <v>537</v>
      </c>
      <c r="B45" s="426"/>
      <c r="C45" t="s">
        <v>534</v>
      </c>
    </row>
    <row r="46" spans="1:3">
      <c r="A46" s="426" t="s">
        <v>538</v>
      </c>
      <c r="B46" s="426"/>
      <c r="C46" t="s">
        <v>265</v>
      </c>
    </row>
    <row r="47" spans="1:3">
      <c r="A47" s="426" t="s">
        <v>539</v>
      </c>
      <c r="B47" s="426"/>
      <c r="C47" t="s">
        <v>265</v>
      </c>
    </row>
    <row r="48" spans="1:3">
      <c r="A48" s="426" t="s">
        <v>540</v>
      </c>
      <c r="B48" s="426"/>
      <c r="C48" t="s">
        <v>265</v>
      </c>
    </row>
    <row r="49" spans="1:3">
      <c r="A49" s="426" t="s">
        <v>541</v>
      </c>
      <c r="B49" s="426"/>
      <c r="C49" t="s">
        <v>265</v>
      </c>
    </row>
    <row r="50" spans="1:3">
      <c r="A50" s="427" t="s">
        <v>542</v>
      </c>
      <c r="B50" s="427"/>
      <c r="C50" t="s">
        <v>327</v>
      </c>
    </row>
    <row r="51" spans="1:3">
      <c r="A51" s="426" t="s">
        <v>543</v>
      </c>
      <c r="B51" s="426"/>
      <c r="C51" t="s">
        <v>327</v>
      </c>
    </row>
    <row r="52" spans="1:3">
      <c r="A52" s="427" t="s">
        <v>544</v>
      </c>
      <c r="B52" s="427"/>
      <c r="C52" t="s">
        <v>327</v>
      </c>
    </row>
    <row r="53" spans="1:3">
      <c r="A53" s="426" t="s">
        <v>545</v>
      </c>
      <c r="B53" s="426"/>
      <c r="C53" t="s">
        <v>327</v>
      </c>
    </row>
    <row r="54" spans="1:3">
      <c r="A54" s="426" t="s">
        <v>546</v>
      </c>
      <c r="B54" s="426"/>
      <c r="C54" t="s">
        <v>369</v>
      </c>
    </row>
    <row r="55" spans="1:3">
      <c r="A55" s="426" t="s">
        <v>547</v>
      </c>
      <c r="B55" s="426"/>
      <c r="C55" t="s">
        <v>369</v>
      </c>
    </row>
    <row r="56" spans="1:3">
      <c r="A56" s="426" t="s">
        <v>548</v>
      </c>
      <c r="B56" s="426"/>
      <c r="C56" t="s">
        <v>369</v>
      </c>
    </row>
    <row r="57" spans="1:3">
      <c r="A57" s="426" t="s">
        <v>549</v>
      </c>
      <c r="B57" s="426"/>
      <c r="C57" t="s">
        <v>369</v>
      </c>
    </row>
    <row r="58" spans="1:3">
      <c r="A58" s="427" t="s">
        <v>550</v>
      </c>
      <c r="B58" s="427"/>
      <c r="C58" t="s">
        <v>412</v>
      </c>
    </row>
    <row r="59" spans="1:3">
      <c r="A59" s="426" t="s">
        <v>551</v>
      </c>
      <c r="B59" s="426"/>
      <c r="C59" t="s">
        <v>412</v>
      </c>
    </row>
    <row r="60" spans="1:3">
      <c r="A60" s="427" t="s">
        <v>552</v>
      </c>
      <c r="B60" s="427"/>
      <c r="C60" t="s">
        <v>412</v>
      </c>
    </row>
    <row r="61" spans="1:3">
      <c r="A61" s="426" t="s">
        <v>553</v>
      </c>
      <c r="B61" s="426"/>
      <c r="C61" t="s">
        <v>412</v>
      </c>
    </row>
    <row r="62" spans="1:3">
      <c r="A62" s="427" t="s">
        <v>554</v>
      </c>
      <c r="B62" s="427"/>
      <c r="C62" t="s">
        <v>449</v>
      </c>
    </row>
    <row r="63" spans="1:3">
      <c r="A63" s="426" t="s">
        <v>555</v>
      </c>
      <c r="B63" s="426"/>
      <c r="C63" t="s">
        <v>449</v>
      </c>
    </row>
    <row r="64" spans="1:3">
      <c r="A64" s="427" t="s">
        <v>556</v>
      </c>
      <c r="B64" s="427"/>
      <c r="C64" t="s">
        <v>449</v>
      </c>
    </row>
    <row r="65" spans="1:3">
      <c r="A65" s="426" t="s">
        <v>557</v>
      </c>
      <c r="B65" s="426"/>
      <c r="C65" t="s">
        <v>449</v>
      </c>
    </row>
  </sheetData>
  <hyperlinks>
    <hyperlink ref="A2" location="'CapRate_AC F ALL'!Print_Area" display="CapRate_AC F ALL" xr:uid="{00000000-0004-0000-0000-000000000000}"/>
    <hyperlink ref="A3" location="'S&amp;D_AC F ALL'!A1" display="'S&amp;D_AC F ALL'!A1" xr:uid="{00000000-0004-0000-0000-000001000000}"/>
    <hyperlink ref="A4" location="'Debt_AC F ALL'!A1" display="'Debt_AC F ALL'!A1" xr:uid="{00000000-0004-0000-0000-000002000000}"/>
    <hyperlink ref="A5" location="'CF Multiples_AC F ALL'!A1" display="'CF Multiples_AC F ALL" xr:uid="{00000000-0004-0000-0000-000003000000}"/>
    <hyperlink ref="A6" location="'CapRate_AC F FEDEX'!A1" display="'CapRate_AC F FEDEX" xr:uid="{00000000-0004-0000-0000-000004000000}"/>
    <hyperlink ref="A7" location="'S&amp;D_AC F FEDEX'!A1" display="'S&amp;D_AC F FEDEX" xr:uid="{00000000-0004-0000-0000-000005000000}"/>
    <hyperlink ref="A8" location="'Debt_AC F FEDEX'!A1" display="'Debt_AC F FEDEX" xr:uid="{00000000-0004-0000-0000-000006000000}"/>
    <hyperlink ref="A9" location="'CF Multiples_AC F FEDEX'!A1" display="'CF Multiples_AC F FEDEX" xr:uid="{00000000-0004-0000-0000-000007000000}"/>
    <hyperlink ref="A10" location="'CapRate_AC F UPS'!A1" display="'CapRate_AC F UPS" xr:uid="{00000000-0004-0000-0000-000008000000}"/>
    <hyperlink ref="A11" location="'S&amp;D_AC F UPS'!A1" display="'S&amp;D_AC F UPS" xr:uid="{00000000-0004-0000-0000-000009000000}"/>
    <hyperlink ref="A12" location="'Debt_AC F UPS'!A1" display="'Debt_AC F UPS" xr:uid="{00000000-0004-0000-0000-00000A000000}"/>
    <hyperlink ref="A13" location="'CF Multiples_AC F UPS'!A1" display="'CF Multiples_AC F UPS" xr:uid="{00000000-0004-0000-0000-00000B000000}"/>
    <hyperlink ref="A14" location="'CapRate_AC P ALL'!A1" display="'CapRate_AC P ALL" xr:uid="{00000000-0004-0000-0000-00000C000000}"/>
    <hyperlink ref="A15" location="'S&amp;D_AC P ALL'!A1" display="'S&amp;D_AC P ALL" xr:uid="{00000000-0004-0000-0000-00000D000000}"/>
    <hyperlink ref="A16" location="'Debt_AC P ALL'!A1" display="'Debt_AC P ALL" xr:uid="{00000000-0004-0000-0000-00000E000000}"/>
    <hyperlink ref="A17" location="'CF Multiples_AC P ALL'!A1" display="'CF Multiples_AC P ALL" xr:uid="{00000000-0004-0000-0000-00000F000000}"/>
    <hyperlink ref="A18" location="'CapRate_AC P United'!A1" display="'CapRate_AC P United" xr:uid="{00000000-0004-0000-0000-000010000000}"/>
    <hyperlink ref="A19" location="'S&amp;D_AC P United'!A1" display="'S&amp;D_AC P United" xr:uid="{00000000-0004-0000-0000-000011000000}"/>
    <hyperlink ref="A20" location="'Debt_AC P United'!A1" display="'Debt_AC P United" xr:uid="{00000000-0004-0000-0000-000012000000}"/>
    <hyperlink ref="A21" location="'CF Multiples_AC P United'!A1" display="'CF Multiples_AC P United" xr:uid="{00000000-0004-0000-0000-000013000000}"/>
    <hyperlink ref="A22" location="'CapRate_AC P Delta'!A1" display="'CapRate_AC P Delta" xr:uid="{00000000-0004-0000-0000-000014000000}"/>
    <hyperlink ref="A23" location="'S&amp;D_AC P Delta'!A1" display="'S&amp;D_AC P Delta" xr:uid="{00000000-0004-0000-0000-000015000000}"/>
    <hyperlink ref="A24" location="'Debt_AC P Delta'!A1" display="'Debt_AC P Delta" xr:uid="{00000000-0004-0000-0000-000016000000}"/>
    <hyperlink ref="A25" location="'CF Multiples_AC P Delta'!A1" display="'CF Multiples_AC P Delta" xr:uid="{00000000-0004-0000-0000-000017000000}"/>
    <hyperlink ref="A26" location="'CapRate_AC P Skywest'!A1" display="'CapRate_AC P Skywest" xr:uid="{00000000-0004-0000-0000-000018000000}"/>
    <hyperlink ref="A27" location="'S&amp;D_AC P Skywest'!A1" display="'S&amp;D_AC P Skywest" xr:uid="{00000000-0004-0000-0000-000019000000}"/>
    <hyperlink ref="A28" location="'Debt_AC P Skywest'!A1" display="'Debt_AC P Skywest" xr:uid="{00000000-0004-0000-0000-00001A000000}"/>
    <hyperlink ref="A29" location="'CF Multiples_AC P Skywest'!A1" display="'CF Multiples_AC P Skywest" xr:uid="{00000000-0004-0000-0000-00001B000000}"/>
    <hyperlink ref="A30" location="'CapRate_AC P American'!A1" display="'CapRate_AC P American" xr:uid="{00000000-0004-0000-0000-00001C000000}"/>
    <hyperlink ref="A31" location="'S&amp;D_AC P American'!A1" display="'S&amp;D_AC P American" xr:uid="{00000000-0004-0000-0000-00001D000000}"/>
    <hyperlink ref="A32" location="'Debt_AC P American'!A1" display="'Debt_AC P American" xr:uid="{00000000-0004-0000-0000-00001E000000}"/>
    <hyperlink ref="A33" location="'CF Multiples_AC P American'!A1" display="'CF Multiples_AC P American" xr:uid="{00000000-0004-0000-0000-00001F000000}"/>
    <hyperlink ref="A34" location="'CapRate_AC P Southwest'!A1" display="'CapRate_AC P Southwest" xr:uid="{00000000-0004-0000-0000-000020000000}"/>
    <hyperlink ref="A35" location="'S&amp;D_AC P Southwest'!A1" display="'S&amp;D_AC P Southwest" xr:uid="{00000000-0004-0000-0000-000021000000}"/>
    <hyperlink ref="A36" location="'Debt_AC P Southwest'!A1" display="'Debt_AC P Southwest" xr:uid="{00000000-0004-0000-0000-000022000000}"/>
    <hyperlink ref="A37" location="'CF Multiples_AC P Southwest'!A1" display="'CF Multiples_AC P Southwest" xr:uid="{00000000-0004-0000-0000-000023000000}"/>
    <hyperlink ref="A38" location="CapRate_EU!A1" display="CapRate_EU" xr:uid="{00000000-0004-0000-0000-000024000000}"/>
    <hyperlink ref="A39" location="'S&amp;D_EU'!A1" display="'S&amp;D_EU" xr:uid="{00000000-0004-0000-0000-000025000000}"/>
    <hyperlink ref="A40" location="Debt_EU!A1" display="Debt_EU" xr:uid="{00000000-0004-0000-0000-000026000000}"/>
    <hyperlink ref="A41" location="'CF Multiples_EU'!A1" display="'CF Multiples_EU" xr:uid="{00000000-0004-0000-0000-000027000000}"/>
    <hyperlink ref="A42" location="'CapRate_EU Wholesale'!A1" display="'CapRate_EU Wholesale" xr:uid="{00000000-0004-0000-0000-000028000000}"/>
    <hyperlink ref="A43" location="'S&amp;D_EU Wholesale'!A1" display="'S&amp;D_EU Wholesale" xr:uid="{00000000-0004-0000-0000-000029000000}"/>
    <hyperlink ref="A44" location="'Debt_EU Wholesale'!A1" display="'Debt_EU Wholesale" xr:uid="{00000000-0004-0000-0000-00002A000000}"/>
    <hyperlink ref="A45" location="'CF Multiples_EU Wholesale'!A1" display="'CF Multiples_EU Wholesale" xr:uid="{00000000-0004-0000-0000-00002B000000}"/>
    <hyperlink ref="A46" location="'CapRate_Gas Dist'!A1" display="'CapRate_Gas Dist" xr:uid="{00000000-0004-0000-0000-00002C000000}"/>
    <hyperlink ref="A47" location="'S&amp;D_Gas Dist'!A1" display="'S&amp;D_Gas Dist" xr:uid="{00000000-0004-0000-0000-00002D000000}"/>
    <hyperlink ref="A48" location="'Debt_Gas Dist'!A1" display="'Debt_Gas Dist" xr:uid="{00000000-0004-0000-0000-00002E000000}"/>
    <hyperlink ref="A49" location="'CF Multiples_Gas Dist'!A1" display="'CF Multiples_Gas Dist" xr:uid="{00000000-0004-0000-0000-00002F000000}"/>
    <hyperlink ref="A50" location="CapRate_GP!A1" display="CapRate_GP" xr:uid="{00000000-0004-0000-0000-000030000000}"/>
    <hyperlink ref="A51" location="'S&amp;D_GP'!A1" display="'S&amp;D_GP'" xr:uid="{00000000-0004-0000-0000-000031000000}"/>
    <hyperlink ref="A52" location="Debt_GP!A1" display="Debt_GP" xr:uid="{00000000-0004-0000-0000-000032000000}"/>
    <hyperlink ref="A53" location="'CF Multiples_GP'!A1" display="'CF Multiples_GP" xr:uid="{00000000-0004-0000-0000-000033000000}"/>
    <hyperlink ref="A54" location="'CapRate_LQ PL'!A1" display="'CapRate_LQ PL" xr:uid="{00000000-0004-0000-0000-000034000000}"/>
    <hyperlink ref="A55" location="'S&amp;D_LQ PL'!A1" display="'S&amp;D_LQ PL" xr:uid="{00000000-0004-0000-0000-000035000000}"/>
    <hyperlink ref="A56" location="'Debt_LQ PL'!A1" display="'Debt_LQ PL" xr:uid="{00000000-0004-0000-0000-000036000000}"/>
    <hyperlink ref="A57" location="'CF Multiples_LQ PL'!A1" display="'CF Multiples_LQ PL" xr:uid="{00000000-0004-0000-0000-000037000000}"/>
    <hyperlink ref="A58" location="CapRate_PW!A1" display="CapRate_PW" xr:uid="{00000000-0004-0000-0000-000038000000}"/>
    <hyperlink ref="A59" location="'S&amp;D_PW'!A1" display="'S&amp;D_PW" xr:uid="{00000000-0004-0000-0000-000039000000}"/>
    <hyperlink ref="A60" location="Debt_PW!A1" display="Debt_PW" xr:uid="{00000000-0004-0000-0000-00003A000000}"/>
    <hyperlink ref="A61" location="'CF Multiples_PW'!A1" display="'CF Multiples_PW" xr:uid="{00000000-0004-0000-0000-00003B000000}"/>
    <hyperlink ref="A62" location="CapRate_RR!A1" display="CapRate_RR" xr:uid="{00000000-0004-0000-0000-00003C000000}"/>
    <hyperlink ref="A63" location="'S&amp;D_RR'!A1" display="'S&amp;D_RR" xr:uid="{00000000-0004-0000-0000-00003D000000}"/>
    <hyperlink ref="A64" location="Debt_RR!A1" display="Debt_RR" xr:uid="{00000000-0004-0000-0000-00003E000000}"/>
    <hyperlink ref="A65" location="'CF Multiples_RR'!A1" display="'CF Multiples_RR" xr:uid="{00000000-0004-0000-0000-00003F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G24"/>
  <sheetViews>
    <sheetView zoomScaleNormal="100" workbookViewId="0">
      <selection activeCell="F24" sqref="F24"/>
    </sheetView>
  </sheetViews>
  <sheetFormatPr defaultRowHeight="15"/>
  <cols>
    <col min="1" max="1" width="24.85546875" customWidth="1"/>
    <col min="2" max="2" width="13.28515625" bestFit="1" customWidth="1"/>
    <col min="3" max="3" width="28.5703125" customWidth="1"/>
    <col min="4" max="4" width="12" bestFit="1" customWidth="1"/>
    <col min="5" max="5" width="20.85546875" bestFit="1" customWidth="1"/>
    <col min="6" max="6" width="13" bestFit="1" customWidth="1"/>
  </cols>
  <sheetData>
    <row r="1" spans="1:7" ht="21">
      <c r="C1" s="1" t="s">
        <v>0</v>
      </c>
    </row>
    <row r="2" spans="1:7" ht="15.75">
      <c r="C2" s="2" t="s">
        <v>1</v>
      </c>
    </row>
    <row r="4" spans="1:7">
      <c r="C4" s="3" t="s">
        <v>2</v>
      </c>
    </row>
    <row r="5" spans="1:7">
      <c r="C5" s="3" t="s">
        <v>3</v>
      </c>
    </row>
    <row r="8" spans="1:7">
      <c r="D8" s="4"/>
    </row>
    <row r="10" spans="1:7" ht="15.75" thickBot="1">
      <c r="B10" s="5"/>
      <c r="C10" s="5"/>
      <c r="D10" s="5"/>
    </row>
    <row r="11" spans="1:7" ht="21">
      <c r="C11" s="6" t="s">
        <v>88</v>
      </c>
    </row>
    <row r="12" spans="1:7" ht="15.75" thickBot="1">
      <c r="B12" s="5"/>
      <c r="C12" s="7" t="s">
        <v>5</v>
      </c>
      <c r="D12" s="5"/>
    </row>
    <row r="13" spans="1:7" ht="15.75" thickBot="1">
      <c r="A13" s="5"/>
      <c r="B13" s="5"/>
      <c r="C13" s="7" t="s">
        <v>6</v>
      </c>
      <c r="D13" s="5"/>
      <c r="E13" s="5"/>
      <c r="F13" s="5"/>
      <c r="G13" s="5"/>
    </row>
    <row r="14" spans="1:7">
      <c r="A14" s="8" t="s">
        <v>7</v>
      </c>
      <c r="B14" s="8" t="s">
        <v>8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6</v>
      </c>
    </row>
    <row r="15" spans="1:7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  <c r="G15" s="7" t="s">
        <v>6</v>
      </c>
    </row>
    <row r="16" spans="1:7">
      <c r="A16" s="9" t="s">
        <v>6</v>
      </c>
      <c r="B16" s="9" t="s">
        <v>6</v>
      </c>
      <c r="C16" s="9" t="s">
        <v>6</v>
      </c>
      <c r="D16" s="9" t="s">
        <v>6</v>
      </c>
      <c r="E16" s="9" t="s">
        <v>6</v>
      </c>
      <c r="F16" s="9" t="s">
        <v>6</v>
      </c>
      <c r="G16" s="9" t="s">
        <v>6</v>
      </c>
    </row>
    <row r="17" spans="1:7">
      <c r="A17" s="8"/>
      <c r="B17" s="8"/>
      <c r="C17" s="8"/>
      <c r="D17" s="8"/>
      <c r="E17" s="8"/>
      <c r="F17" s="8"/>
      <c r="G17" s="8"/>
    </row>
    <row r="18" spans="1:7" ht="15.75">
      <c r="A18" s="2" t="s">
        <v>17</v>
      </c>
      <c r="B18" s="10">
        <v>0.82</v>
      </c>
      <c r="C18" s="11">
        <v>6.7400000000000002E-2</v>
      </c>
      <c r="D18" s="2" t="s">
        <v>6</v>
      </c>
      <c r="E18" s="11">
        <f>+C18</f>
        <v>6.7400000000000002E-2</v>
      </c>
      <c r="F18" s="12">
        <f>+E18*B18</f>
        <v>5.5267999999999998E-2</v>
      </c>
      <c r="G18" s="13" t="s">
        <v>6</v>
      </c>
    </row>
    <row r="19" spans="1:7" ht="15.75">
      <c r="A19" s="2" t="s">
        <v>6</v>
      </c>
      <c r="B19" s="14" t="s">
        <v>6</v>
      </c>
      <c r="C19" s="2" t="s">
        <v>6</v>
      </c>
      <c r="D19" s="2" t="s">
        <v>6</v>
      </c>
      <c r="E19" s="15" t="s">
        <v>6</v>
      </c>
      <c r="F19" s="12" t="s">
        <v>6</v>
      </c>
      <c r="G19" s="13" t="s">
        <v>6</v>
      </c>
    </row>
    <row r="20" spans="1:7" ht="15.75">
      <c r="A20" s="2" t="s">
        <v>18</v>
      </c>
      <c r="B20" s="10">
        <v>0.18</v>
      </c>
      <c r="C20" s="10">
        <v>2.7900000000000001E-2</v>
      </c>
      <c r="D20" s="16">
        <v>0.26</v>
      </c>
      <c r="E20" s="11">
        <f>+C20*(1-D20)</f>
        <v>2.0646000000000001E-2</v>
      </c>
      <c r="F20" s="12">
        <f>+B20*E20</f>
        <v>3.7162800000000002E-3</v>
      </c>
      <c r="G20" s="13" t="s">
        <v>6</v>
      </c>
    </row>
    <row r="21" spans="1:7" ht="16.5" thickBot="1">
      <c r="A21" s="17" t="s">
        <v>6</v>
      </c>
      <c r="B21" s="17" t="s">
        <v>6</v>
      </c>
      <c r="C21" s="17" t="s">
        <v>6</v>
      </c>
      <c r="D21" s="17" t="s">
        <v>6</v>
      </c>
      <c r="E21" s="18" t="s">
        <v>6</v>
      </c>
      <c r="F21" s="19" t="s">
        <v>6</v>
      </c>
      <c r="G21" s="20" t="s">
        <v>6</v>
      </c>
    </row>
    <row r="22" spans="1:7" ht="15.75">
      <c r="A22" s="2" t="s">
        <v>19</v>
      </c>
      <c r="B22" s="21">
        <f>+B18+B20</f>
        <v>1</v>
      </c>
      <c r="C22" s="2" t="s">
        <v>6</v>
      </c>
      <c r="D22" s="2" t="s">
        <v>6</v>
      </c>
      <c r="E22" s="15" t="s">
        <v>6</v>
      </c>
      <c r="F22" s="12">
        <f>+F18+F20</f>
        <v>5.898428E-2</v>
      </c>
      <c r="G22" s="13" t="s">
        <v>6</v>
      </c>
    </row>
    <row r="23" spans="1:7">
      <c r="A23" s="22"/>
      <c r="B23" s="22"/>
      <c r="C23" s="22"/>
      <c r="D23" s="22"/>
      <c r="E23" s="22"/>
      <c r="F23" s="22"/>
      <c r="G23" s="22"/>
    </row>
    <row r="24" spans="1:7" ht="15.75">
      <c r="E24" s="15" t="s">
        <v>20</v>
      </c>
      <c r="F24" s="54">
        <v>5.8999999999999997E-2</v>
      </c>
    </row>
  </sheetData>
  <pageMargins left="0.25" right="0.25" top="0.75" bottom="0.75" header="0.3" footer="0.3"/>
  <pageSetup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57"/>
  <sheetViews>
    <sheetView zoomScale="70" zoomScaleNormal="70" zoomScalePageLayoutView="70" workbookViewId="0">
      <selection activeCell="F15" sqref="F15"/>
    </sheetView>
  </sheetViews>
  <sheetFormatPr defaultRowHeight="15"/>
  <cols>
    <col min="1" max="1" width="55.7109375" customWidth="1"/>
    <col min="2" max="2" width="22.85546875" customWidth="1"/>
    <col min="3" max="3" width="25.85546875" customWidth="1"/>
    <col min="4" max="4" width="27.42578125" customWidth="1"/>
    <col min="5" max="5" width="22.7109375" customWidth="1"/>
    <col min="6" max="6" width="25.28515625" customWidth="1"/>
    <col min="7" max="7" width="26.140625" customWidth="1"/>
    <col min="8" max="8" width="27.28515625" customWidth="1"/>
    <col min="9" max="9" width="29" customWidth="1"/>
    <col min="10" max="10" width="27.42578125" customWidth="1"/>
    <col min="11" max="11" width="29.42578125" customWidth="1"/>
    <col min="12" max="12" width="30.140625" bestFit="1" customWidth="1"/>
    <col min="13" max="13" width="10.5703125" customWidth="1"/>
    <col min="14" max="14" width="17.140625" customWidth="1"/>
  </cols>
  <sheetData>
    <row r="1" spans="1:11" ht="21">
      <c r="A1" s="23" t="s">
        <v>0</v>
      </c>
    </row>
    <row r="2" spans="1:11" ht="15.75">
      <c r="A2" s="24" t="s">
        <v>1</v>
      </c>
    </row>
    <row r="3" spans="1:11">
      <c r="A3" s="22" t="s">
        <v>2</v>
      </c>
    </row>
    <row r="4" spans="1:11">
      <c r="D4" s="4"/>
      <c r="E4" s="4"/>
      <c r="J4" t="s">
        <v>6</v>
      </c>
    </row>
    <row r="6" spans="1:11">
      <c r="A6" s="25" t="s">
        <v>21</v>
      </c>
      <c r="B6" s="26"/>
      <c r="C6" s="26"/>
      <c r="D6" s="26"/>
      <c r="F6" s="27"/>
      <c r="G6" s="28"/>
      <c r="H6" s="28"/>
      <c r="I6" s="29"/>
      <c r="J6" s="29"/>
      <c r="K6" s="29"/>
    </row>
    <row r="7" spans="1:11">
      <c r="A7" s="28"/>
      <c r="B7" s="28"/>
      <c r="C7" s="28"/>
      <c r="D7" s="28"/>
      <c r="E7" s="28"/>
      <c r="F7" s="28" t="s">
        <v>6</v>
      </c>
      <c r="G7" s="28"/>
      <c r="H7" s="28"/>
      <c r="I7" s="28"/>
      <c r="J7" s="28"/>
      <c r="K7" s="28"/>
    </row>
    <row r="8" spans="1:11" ht="15.75" thickBot="1">
      <c r="A8" s="28"/>
      <c r="B8" s="28"/>
      <c r="C8" s="28"/>
      <c r="D8" s="28"/>
      <c r="E8" s="28"/>
      <c r="F8" s="30" t="s">
        <v>6</v>
      </c>
      <c r="G8" s="28"/>
      <c r="H8" s="28"/>
      <c r="I8" s="28"/>
      <c r="J8" s="28"/>
      <c r="K8" s="28"/>
    </row>
    <row r="9" spans="1:11" ht="20.25">
      <c r="A9" s="31" t="s">
        <v>22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5.75" thickBot="1">
      <c r="A10" s="32" t="s">
        <v>6</v>
      </c>
      <c r="B10" s="33" t="s">
        <v>6</v>
      </c>
      <c r="C10" s="33" t="s">
        <v>6</v>
      </c>
      <c r="D10" s="33"/>
      <c r="E10" s="33"/>
      <c r="F10" s="33" t="s">
        <v>6</v>
      </c>
      <c r="G10" s="33" t="s">
        <v>6</v>
      </c>
      <c r="H10" s="34"/>
      <c r="I10" s="34"/>
      <c r="J10" s="34"/>
    </row>
    <row r="11" spans="1:11" ht="15.75">
      <c r="A11" s="35"/>
      <c r="B11" s="35"/>
      <c r="F11" s="35" t="s">
        <v>6</v>
      </c>
      <c r="G11" s="35"/>
      <c r="H11" s="36" t="s">
        <v>23</v>
      </c>
      <c r="I11" s="36" t="s">
        <v>6</v>
      </c>
      <c r="J11" s="36" t="s">
        <v>6</v>
      </c>
    </row>
    <row r="12" spans="1:11" ht="15.75">
      <c r="A12" s="35"/>
      <c r="B12" s="35"/>
      <c r="C12" s="35"/>
      <c r="D12" s="438" t="s">
        <v>24</v>
      </c>
      <c r="E12" s="439"/>
      <c r="F12" s="35" t="s">
        <v>25</v>
      </c>
      <c r="G12" s="35"/>
      <c r="H12" s="35" t="s">
        <v>26</v>
      </c>
      <c r="I12" s="35" t="s">
        <v>23</v>
      </c>
      <c r="J12" s="36" t="s">
        <v>23</v>
      </c>
    </row>
    <row r="13" spans="1:11" ht="15.75">
      <c r="A13" s="35" t="s">
        <v>6</v>
      </c>
      <c r="B13" s="35" t="s">
        <v>27</v>
      </c>
      <c r="C13" s="35" t="s">
        <v>28</v>
      </c>
      <c r="D13" s="438" t="s">
        <v>29</v>
      </c>
      <c r="E13" s="439"/>
      <c r="F13" s="36" t="s">
        <v>30</v>
      </c>
      <c r="G13" s="36" t="s">
        <v>23</v>
      </c>
      <c r="H13" s="35" t="s">
        <v>31</v>
      </c>
      <c r="I13" s="35" t="s">
        <v>32</v>
      </c>
      <c r="J13" s="37" t="s">
        <v>33</v>
      </c>
    </row>
    <row r="14" spans="1:11" ht="16.5" thickBot="1">
      <c r="A14" s="38" t="s">
        <v>34</v>
      </c>
      <c r="B14" s="38" t="s">
        <v>35</v>
      </c>
      <c r="C14" s="38" t="s">
        <v>36</v>
      </c>
      <c r="D14" s="39" t="s">
        <v>37</v>
      </c>
      <c r="E14" s="40" t="s">
        <v>38</v>
      </c>
      <c r="F14" s="38" t="s">
        <v>29</v>
      </c>
      <c r="G14" s="38" t="s">
        <v>29</v>
      </c>
      <c r="H14" s="41" t="s">
        <v>39</v>
      </c>
      <c r="I14" s="38" t="s">
        <v>40</v>
      </c>
      <c r="J14" s="38" t="s">
        <v>40</v>
      </c>
    </row>
    <row r="15" spans="1:11" ht="15.75">
      <c r="A15" s="42" t="s">
        <v>41</v>
      </c>
      <c r="B15" s="42" t="s">
        <v>41</v>
      </c>
      <c r="C15" s="42" t="s">
        <v>41</v>
      </c>
      <c r="D15" s="43" t="s">
        <v>42</v>
      </c>
      <c r="E15" s="43" t="s">
        <v>42</v>
      </c>
      <c r="F15" s="43"/>
      <c r="G15" s="42" t="s">
        <v>41</v>
      </c>
      <c r="H15" s="42" t="s">
        <v>42</v>
      </c>
      <c r="I15" s="42" t="s">
        <v>42</v>
      </c>
      <c r="J15" s="42" t="s">
        <v>42</v>
      </c>
    </row>
    <row r="16" spans="1:11" ht="15.75">
      <c r="A16" s="35"/>
      <c r="B16" s="35"/>
      <c r="C16" s="35"/>
      <c r="D16" s="35"/>
      <c r="E16" s="35"/>
      <c r="F16" s="35"/>
      <c r="G16" s="35"/>
      <c r="H16" s="35"/>
      <c r="I16" s="44"/>
      <c r="J16" s="44"/>
    </row>
    <row r="17" spans="1:11" ht="15.75">
      <c r="A17" s="24" t="s">
        <v>89</v>
      </c>
      <c r="B17" s="2" t="s">
        <v>90</v>
      </c>
      <c r="C17" s="2" t="s">
        <v>45</v>
      </c>
      <c r="D17" s="45">
        <v>168.48</v>
      </c>
      <c r="E17" s="45">
        <v>165.44</v>
      </c>
      <c r="F17" s="46">
        <f t="shared" ref="F17" si="0">AVERAGE(D17:E17)</f>
        <v>166.95999999999998</v>
      </c>
      <c r="G17" s="46">
        <v>168.4</v>
      </c>
      <c r="H17" s="47">
        <f>(147+718-0.4)*1000000</f>
        <v>864600000</v>
      </c>
      <c r="I17" s="53">
        <v>0</v>
      </c>
      <c r="J17" s="47">
        <f>22031000000+2623000000</f>
        <v>24654000000</v>
      </c>
    </row>
    <row r="18" spans="1:11" ht="16.5" thickBot="1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1" ht="15.75">
      <c r="A19" s="49"/>
      <c r="B19" s="49"/>
      <c r="C19" s="49"/>
      <c r="D19" s="49"/>
      <c r="E19" s="49"/>
      <c r="F19" s="49"/>
      <c r="G19" s="49"/>
      <c r="H19" s="49"/>
      <c r="I19" s="49"/>
      <c r="J19" s="49"/>
    </row>
    <row r="20" spans="1:11" ht="15.75">
      <c r="A20" s="49"/>
      <c r="B20" s="49"/>
      <c r="C20" s="49"/>
      <c r="D20" s="49" t="s">
        <v>6</v>
      </c>
      <c r="E20" s="49"/>
      <c r="F20" s="49"/>
      <c r="G20" s="49"/>
      <c r="J20" s="50" t="s">
        <v>6</v>
      </c>
      <c r="K20" s="49"/>
    </row>
    <row r="21" spans="1:11" ht="15.75">
      <c r="A21" s="49"/>
      <c r="B21" s="49"/>
      <c r="C21" s="49"/>
      <c r="D21" s="49"/>
      <c r="E21" s="49"/>
      <c r="F21" s="49"/>
      <c r="G21" s="49"/>
      <c r="J21" s="49" t="s">
        <v>6</v>
      </c>
      <c r="K21" s="49" t="s">
        <v>6</v>
      </c>
    </row>
    <row r="22" spans="1:11" ht="15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5.75">
      <c r="A23" s="49"/>
      <c r="B23" s="49"/>
      <c r="C23" s="49"/>
      <c r="D23" s="49"/>
      <c r="E23" s="49"/>
      <c r="F23" s="49"/>
      <c r="G23" s="49"/>
      <c r="H23" s="49" t="s">
        <v>6</v>
      </c>
      <c r="I23" s="49"/>
      <c r="J23" s="49"/>
      <c r="K23" s="49" t="s">
        <v>6</v>
      </c>
    </row>
    <row r="24" spans="1:11" ht="15.75">
      <c r="A24" s="49"/>
      <c r="B24" s="49"/>
      <c r="C24" s="49"/>
      <c r="D24" s="49"/>
      <c r="E24" s="36" t="s">
        <v>6</v>
      </c>
      <c r="F24" s="49"/>
      <c r="G24" s="49"/>
      <c r="H24" s="49"/>
      <c r="I24" s="49"/>
      <c r="J24" s="49"/>
      <c r="K24" s="49"/>
    </row>
    <row r="25" spans="1:11" ht="15.75">
      <c r="A25" s="35"/>
      <c r="B25" s="35"/>
      <c r="C25" s="35"/>
      <c r="D25" s="36" t="s">
        <v>23</v>
      </c>
      <c r="E25" s="35" t="s">
        <v>23</v>
      </c>
      <c r="F25" s="36" t="s">
        <v>23</v>
      </c>
      <c r="G25" s="36" t="s">
        <v>23</v>
      </c>
      <c r="H25" s="36" t="s">
        <v>23</v>
      </c>
      <c r="I25" s="36" t="s">
        <v>23</v>
      </c>
      <c r="J25" s="36" t="s">
        <v>23</v>
      </c>
      <c r="K25" s="49"/>
    </row>
    <row r="26" spans="1:11" ht="15.75">
      <c r="A26" s="35" t="s">
        <v>6</v>
      </c>
      <c r="B26" s="35" t="s">
        <v>27</v>
      </c>
      <c r="C26" s="35" t="s">
        <v>28</v>
      </c>
      <c r="D26" s="35" t="s">
        <v>26</v>
      </c>
      <c r="E26" s="35" t="s">
        <v>32</v>
      </c>
      <c r="F26" s="35" t="s">
        <v>46</v>
      </c>
      <c r="G26" s="37" t="s">
        <v>47</v>
      </c>
      <c r="H26" s="37" t="s">
        <v>48</v>
      </c>
      <c r="I26" s="37" t="s">
        <v>49</v>
      </c>
      <c r="J26" s="37" t="s">
        <v>50</v>
      </c>
      <c r="K26" s="49"/>
    </row>
    <row r="27" spans="1:11" ht="16.5" thickBot="1">
      <c r="A27" s="38" t="s">
        <v>34</v>
      </c>
      <c r="B27" s="38" t="s">
        <v>35</v>
      </c>
      <c r="C27" s="38" t="s">
        <v>36</v>
      </c>
      <c r="D27" s="38" t="s">
        <v>51</v>
      </c>
      <c r="E27" s="38" t="s">
        <v>51</v>
      </c>
      <c r="F27" s="38" t="s">
        <v>51</v>
      </c>
      <c r="G27" s="38" t="s">
        <v>51</v>
      </c>
      <c r="H27" s="38" t="s">
        <v>52</v>
      </c>
      <c r="I27" s="38" t="s">
        <v>6</v>
      </c>
      <c r="J27" s="38" t="s">
        <v>6</v>
      </c>
      <c r="K27" s="49"/>
    </row>
    <row r="28" spans="1:11" ht="15.75">
      <c r="A28" s="42" t="s">
        <v>41</v>
      </c>
      <c r="B28" s="42" t="s">
        <v>41</v>
      </c>
      <c r="C28" s="42" t="s">
        <v>41</v>
      </c>
      <c r="D28" s="42" t="s">
        <v>53</v>
      </c>
      <c r="E28" s="42" t="s">
        <v>42</v>
      </c>
      <c r="F28" s="42" t="s">
        <v>42</v>
      </c>
      <c r="G28" s="42" t="s">
        <v>42</v>
      </c>
      <c r="H28" s="42" t="s">
        <v>53</v>
      </c>
      <c r="I28" s="42" t="s">
        <v>53</v>
      </c>
      <c r="J28" s="42" t="s">
        <v>53</v>
      </c>
      <c r="K28" s="49"/>
    </row>
    <row r="29" spans="1:11" ht="15.75">
      <c r="A29" s="35"/>
      <c r="B29" s="35"/>
      <c r="C29" s="35"/>
      <c r="D29" s="49"/>
      <c r="E29" s="49"/>
      <c r="F29" t="s">
        <v>6</v>
      </c>
      <c r="G29" t="s">
        <v>6</v>
      </c>
      <c r="H29" s="44"/>
      <c r="I29" s="44"/>
      <c r="J29" s="44"/>
      <c r="K29" s="49"/>
    </row>
    <row r="30" spans="1:11" ht="15.75">
      <c r="A30" s="24" t="str">
        <f>+A17</f>
        <v xml:space="preserve">United Parcel Service </v>
      </c>
      <c r="B30" s="2" t="str">
        <f>+B17</f>
        <v>UPS</v>
      </c>
      <c r="C30" s="2" t="str">
        <f>+C17</f>
        <v>Air Trans</v>
      </c>
      <c r="D30" s="51">
        <f>(+H17)*G17</f>
        <v>145598640000</v>
      </c>
      <c r="E30" s="52">
        <f>+K17</f>
        <v>0</v>
      </c>
      <c r="F30" s="52">
        <f>+E47</f>
        <v>3100000000</v>
      </c>
      <c r="G30" s="53">
        <f>+J17*(28300/24654)</f>
        <v>28300000000</v>
      </c>
      <c r="H30" s="53">
        <f t="shared" ref="H30" si="1">+D30+E30+F30+G30</f>
        <v>176998640000</v>
      </c>
      <c r="I30" s="12">
        <f>+D30/H30</f>
        <v>0.82259750696389533</v>
      </c>
      <c r="J30" s="54">
        <f t="shared" ref="J30" si="2">(+E30+F30+G30)/H30</f>
        <v>0.1774024930361047</v>
      </c>
      <c r="K30" s="55" t="s">
        <v>6</v>
      </c>
    </row>
    <row r="31" spans="1:11" ht="15.75">
      <c r="A31" s="24"/>
      <c r="B31" s="2"/>
      <c r="C31" s="2"/>
      <c r="D31" s="51"/>
      <c r="E31" s="51"/>
      <c r="F31" t="s">
        <v>6</v>
      </c>
      <c r="G31" s="56"/>
      <c r="H31" s="56"/>
      <c r="I31" s="57"/>
      <c r="J31" s="57"/>
      <c r="K31" s="49"/>
    </row>
    <row r="32" spans="1:11" ht="16.5" thickBot="1">
      <c r="A32" s="48"/>
      <c r="B32" s="48"/>
      <c r="C32" s="48"/>
      <c r="D32" s="48"/>
      <c r="E32" s="48"/>
      <c r="F32" s="5"/>
      <c r="G32" s="48"/>
      <c r="H32" s="48"/>
      <c r="I32" s="48"/>
      <c r="J32" s="48"/>
      <c r="K32" s="49"/>
    </row>
    <row r="35" spans="1:14" ht="15.75">
      <c r="A35" s="22" t="s">
        <v>54</v>
      </c>
      <c r="H35" s="58"/>
      <c r="I35" s="59"/>
      <c r="J35" s="59"/>
    </row>
    <row r="36" spans="1:14" ht="15.75">
      <c r="A36" s="22" t="s">
        <v>56</v>
      </c>
      <c r="H36" s="58" t="s">
        <v>57</v>
      </c>
      <c r="I36" s="12">
        <f>MEDIAN(I30:I30)</f>
        <v>0.82259750696389533</v>
      </c>
      <c r="J36" s="12">
        <f>MEDIAN(J30:J30)</f>
        <v>0.1774024930361047</v>
      </c>
    </row>
    <row r="37" spans="1:14" ht="15.75">
      <c r="A37" s="22" t="s">
        <v>58</v>
      </c>
      <c r="G37" s="22" t="s">
        <v>6</v>
      </c>
      <c r="H37" s="58" t="s">
        <v>25</v>
      </c>
      <c r="I37" s="12">
        <f>AVERAGE(I30:I30)</f>
        <v>0.82259750696389533</v>
      </c>
      <c r="J37" s="12">
        <f>AVERAGE(J30:J30)</f>
        <v>0.1774024930361047</v>
      </c>
    </row>
    <row r="38" spans="1:14" ht="15.75">
      <c r="A38" s="22" t="s">
        <v>59</v>
      </c>
      <c r="H38" s="24"/>
      <c r="I38" s="24"/>
      <c r="J38" s="24"/>
    </row>
    <row r="39" spans="1:14" ht="21">
      <c r="A39" s="22"/>
      <c r="H39" s="61" t="s">
        <v>20</v>
      </c>
      <c r="I39" s="62">
        <v>0.82</v>
      </c>
      <c r="J39" s="62">
        <v>0.18</v>
      </c>
      <c r="K39" s="63" t="s">
        <v>6</v>
      </c>
    </row>
    <row r="40" spans="1:14" ht="16.5" thickBot="1">
      <c r="A40" s="5"/>
      <c r="B40" s="5"/>
      <c r="C40" s="5"/>
      <c r="D40" s="5"/>
      <c r="E40" s="5"/>
      <c r="F40" s="5"/>
      <c r="G40" s="5"/>
      <c r="H40" s="5" t="s">
        <v>6</v>
      </c>
      <c r="I40" s="64"/>
      <c r="J40" s="64"/>
      <c r="K40" s="5"/>
      <c r="L40" s="5"/>
      <c r="M40" s="5"/>
      <c r="N40" s="5"/>
    </row>
    <row r="41" spans="1:14" ht="15.75">
      <c r="H41" s="65" t="s">
        <v>6</v>
      </c>
      <c r="I41" s="66" t="s">
        <v>6</v>
      </c>
      <c r="J41" s="66" t="s">
        <v>6</v>
      </c>
      <c r="L41" t="s">
        <v>6</v>
      </c>
    </row>
    <row r="46" spans="1:14">
      <c r="B46" s="67" t="s">
        <v>60</v>
      </c>
      <c r="C46" s="68" t="s">
        <v>34</v>
      </c>
      <c r="D46" s="69" t="s">
        <v>61</v>
      </c>
      <c r="E46" s="69" t="s">
        <v>62</v>
      </c>
    </row>
    <row r="47" spans="1:14" ht="15.75">
      <c r="B47" s="108">
        <v>959000000</v>
      </c>
      <c r="C47" s="109" t="str">
        <f>+A30</f>
        <v xml:space="preserve">United Parcel Service </v>
      </c>
      <c r="D47" s="110">
        <v>3073000000</v>
      </c>
      <c r="E47" s="110">
        <v>3100000000</v>
      </c>
    </row>
    <row r="49" spans="3:4">
      <c r="D49" t="s">
        <v>6</v>
      </c>
    </row>
    <row r="55" spans="3:4">
      <c r="C55" s="73" t="s">
        <v>6</v>
      </c>
    </row>
    <row r="56" spans="3:4" ht="15.75">
      <c r="C56" s="74" t="s">
        <v>6</v>
      </c>
    </row>
    <row r="57" spans="3:4">
      <c r="D57" s="75" t="s">
        <v>6</v>
      </c>
    </row>
  </sheetData>
  <mergeCells count="2">
    <mergeCell ref="D12:E12"/>
    <mergeCell ref="D13:E13"/>
  </mergeCells>
  <pageMargins left="0.25" right="0.25" top="0.75" bottom="0.75" header="0.3" footer="0.3"/>
  <pageSetup scale="33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17"/>
  <sheetViews>
    <sheetView zoomScaleNormal="100" workbookViewId="0">
      <selection activeCell="A23" sqref="A23"/>
    </sheetView>
  </sheetViews>
  <sheetFormatPr defaultRowHeight="15"/>
  <cols>
    <col min="1" max="1" width="45.140625" customWidth="1"/>
    <col min="2" max="2" width="10.85546875" bestFit="1" customWidth="1"/>
    <col min="3" max="3" width="12.5703125" bestFit="1" customWidth="1"/>
    <col min="4" max="4" width="12.5703125" customWidth="1"/>
    <col min="5" max="5" width="12.28515625" customWidth="1"/>
    <col min="6" max="6" width="10.85546875" customWidth="1"/>
    <col min="7" max="7" width="12.85546875" customWidth="1"/>
    <col min="8" max="8" width="21.85546875" customWidth="1"/>
    <col min="9" max="9" width="15.140625" customWidth="1"/>
    <col min="10" max="10" width="15.5703125" customWidth="1"/>
    <col min="11" max="11" width="13.140625" customWidth="1"/>
  </cols>
  <sheetData>
    <row r="1" spans="1:13" ht="21">
      <c r="A1" s="23" t="s">
        <v>0</v>
      </c>
    </row>
    <row r="2" spans="1:13" ht="15.75">
      <c r="A2" s="24" t="s">
        <v>1</v>
      </c>
    </row>
    <row r="3" spans="1:13">
      <c r="A3" s="22" t="s">
        <v>2</v>
      </c>
    </row>
    <row r="4" spans="1:13">
      <c r="F4" s="4" t="s">
        <v>6</v>
      </c>
    </row>
    <row r="5" spans="1:13" ht="15.75">
      <c r="A5" s="76" t="s">
        <v>22</v>
      </c>
    </row>
    <row r="6" spans="1:13" ht="15.75" thickBot="1">
      <c r="A6" s="77" t="s">
        <v>6</v>
      </c>
      <c r="B6" s="77" t="s">
        <v>6</v>
      </c>
      <c r="C6" s="77" t="s">
        <v>6</v>
      </c>
      <c r="D6" s="77"/>
      <c r="E6" s="77"/>
      <c r="F6" s="77" t="s">
        <v>6</v>
      </c>
      <c r="G6" s="77" t="s">
        <v>6</v>
      </c>
      <c r="H6" s="77" t="s">
        <v>6</v>
      </c>
      <c r="I6" s="5"/>
    </row>
    <row r="7" spans="1:13">
      <c r="A7" s="8" t="s">
        <v>6</v>
      </c>
      <c r="B7" s="8" t="s">
        <v>27</v>
      </c>
      <c r="C7" s="8" t="s">
        <v>28</v>
      </c>
      <c r="D7" s="8" t="s">
        <v>63</v>
      </c>
      <c r="E7" s="8" t="s">
        <v>64</v>
      </c>
      <c r="F7" s="8" t="s">
        <v>65</v>
      </c>
      <c r="G7" s="8" t="s">
        <v>66</v>
      </c>
      <c r="H7" s="8" t="s">
        <v>67</v>
      </c>
      <c r="I7" s="8" t="s">
        <v>68</v>
      </c>
    </row>
    <row r="8" spans="1:13" ht="15.75" thickBot="1">
      <c r="A8" s="7" t="s">
        <v>34</v>
      </c>
      <c r="B8" s="7" t="s">
        <v>35</v>
      </c>
      <c r="C8" s="7" t="s">
        <v>36</v>
      </c>
      <c r="D8" s="7"/>
      <c r="E8" s="7" t="s">
        <v>69</v>
      </c>
      <c r="F8" s="7" t="s">
        <v>70</v>
      </c>
      <c r="G8" s="7" t="s">
        <v>71</v>
      </c>
      <c r="H8" s="7" t="s">
        <v>71</v>
      </c>
      <c r="I8" s="7" t="s">
        <v>72</v>
      </c>
    </row>
    <row r="9" spans="1:13">
      <c r="A9" s="9" t="s">
        <v>41</v>
      </c>
      <c r="B9" s="9" t="s">
        <v>41</v>
      </c>
      <c r="C9" s="9" t="s">
        <v>41</v>
      </c>
      <c r="D9" s="9" t="s">
        <v>41</v>
      </c>
      <c r="E9" s="9" t="s">
        <v>41</v>
      </c>
      <c r="F9" s="9" t="s">
        <v>41</v>
      </c>
      <c r="G9" s="9" t="s">
        <v>66</v>
      </c>
      <c r="H9" s="9" t="s">
        <v>68</v>
      </c>
      <c r="I9" s="9" t="s">
        <v>68</v>
      </c>
    </row>
    <row r="10" spans="1:13">
      <c r="A10" s="8"/>
      <c r="B10" s="8"/>
      <c r="C10" s="8"/>
      <c r="D10" s="8"/>
      <c r="E10" s="8"/>
      <c r="F10" s="8"/>
      <c r="G10" s="8"/>
      <c r="H10" s="8"/>
      <c r="I10" s="8"/>
    </row>
    <row r="11" spans="1:13">
      <c r="A11" s="22" t="s">
        <v>89</v>
      </c>
      <c r="B11" s="3" t="s">
        <v>90</v>
      </c>
      <c r="C11" s="3" t="s">
        <v>74</v>
      </c>
      <c r="D11" s="78">
        <v>0.8</v>
      </c>
      <c r="E11" s="79">
        <v>0.27700000000000002</v>
      </c>
      <c r="F11" s="80" t="s">
        <v>91</v>
      </c>
      <c r="G11" s="78"/>
      <c r="H11" s="78" t="s">
        <v>92</v>
      </c>
      <c r="I11" s="81">
        <v>2.7900000000000001E-2</v>
      </c>
      <c r="J11" t="s">
        <v>6</v>
      </c>
      <c r="M11" t="s">
        <v>6</v>
      </c>
    </row>
    <row r="12" spans="1:13" ht="15.75" thickBot="1">
      <c r="C12" s="82"/>
      <c r="D12" s="83"/>
      <c r="E12" s="83"/>
      <c r="F12" s="82"/>
      <c r="G12" s="83"/>
      <c r="H12" s="83"/>
      <c r="I12" s="83"/>
    </row>
    <row r="13" spans="1:13" ht="15.75" thickTop="1">
      <c r="C13" s="84"/>
      <c r="D13" s="111"/>
      <c r="E13" s="112"/>
      <c r="F13" s="113"/>
      <c r="G13" s="113"/>
      <c r="H13" s="113"/>
      <c r="I13" s="114"/>
    </row>
    <row r="14" spans="1:13">
      <c r="C14" s="87" t="s">
        <v>57</v>
      </c>
      <c r="D14" s="88">
        <f>MEDIAN(D11:D11)</f>
        <v>0.8</v>
      </c>
      <c r="E14" s="89">
        <f>MEDIAN(E11:E11)</f>
        <v>0.27700000000000002</v>
      </c>
      <c r="I14" s="89">
        <f>MEDIAN(I11:I11)</f>
        <v>2.7900000000000001E-2</v>
      </c>
    </row>
    <row r="15" spans="1:13">
      <c r="C15" s="87" t="s">
        <v>25</v>
      </c>
      <c r="D15" s="90">
        <f>AVERAGE(D11:D11)</f>
        <v>0.8</v>
      </c>
      <c r="E15" s="91">
        <f>AVERAGE(E11:E11)</f>
        <v>0.27700000000000002</v>
      </c>
      <c r="I15" s="91">
        <f>AVERAGE(I11:I11)</f>
        <v>2.7900000000000001E-2</v>
      </c>
    </row>
    <row r="16" spans="1:13">
      <c r="J16" s="92"/>
    </row>
    <row r="17" spans="8:10" ht="21">
      <c r="H17" s="61" t="s">
        <v>78</v>
      </c>
      <c r="I17" s="93">
        <v>2.7900000000000001E-2</v>
      </c>
      <c r="J17" s="94" t="s">
        <v>6</v>
      </c>
    </row>
  </sheetData>
  <pageMargins left="0.25" right="0.25" top="0.75" bottom="0.75" header="0.3" footer="0.3"/>
  <pageSetup scale="7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23"/>
  <sheetViews>
    <sheetView zoomScale="90" zoomScaleNormal="90" workbookViewId="0">
      <selection activeCell="C16" sqref="C16"/>
    </sheetView>
  </sheetViews>
  <sheetFormatPr defaultRowHeight="15"/>
  <cols>
    <col min="1" max="1" width="43.7109375" customWidth="1"/>
    <col min="2" max="2" width="14.42578125" bestFit="1" customWidth="1"/>
    <col min="3" max="3" width="18.85546875" customWidth="1"/>
    <col min="4" max="4" width="20.42578125" customWidth="1"/>
    <col min="5" max="5" width="14.7109375" bestFit="1" customWidth="1"/>
    <col min="6" max="6" width="21.7109375" customWidth="1"/>
    <col min="7" max="7" width="9.140625" customWidth="1"/>
  </cols>
  <sheetData>
    <row r="1" spans="1:6" ht="21">
      <c r="A1" s="23" t="s">
        <v>0</v>
      </c>
    </row>
    <row r="2" spans="1:6" ht="15.75">
      <c r="A2" s="24" t="s">
        <v>1</v>
      </c>
    </row>
    <row r="3" spans="1:6">
      <c r="A3" s="22" t="s">
        <v>2</v>
      </c>
    </row>
    <row r="4" spans="1:6">
      <c r="D4" s="4" t="s">
        <v>6</v>
      </c>
    </row>
    <row r="5" spans="1:6" ht="15.75">
      <c r="A5" s="76" t="s">
        <v>22</v>
      </c>
    </row>
    <row r="6" spans="1:6" ht="15.75">
      <c r="A6" s="76"/>
    </row>
    <row r="7" spans="1:6" ht="18.75">
      <c r="A7" s="76"/>
      <c r="D7" s="95" t="s">
        <v>79</v>
      </c>
    </row>
    <row r="8" spans="1:6" ht="18.75">
      <c r="A8" s="76"/>
      <c r="D8" s="95" t="s">
        <v>80</v>
      </c>
    </row>
    <row r="9" spans="1:6" ht="15.75">
      <c r="A9" s="76"/>
      <c r="D9" s="96" t="s">
        <v>6</v>
      </c>
    </row>
    <row r="10" spans="1:6" ht="15.75" thickBot="1">
      <c r="A10" s="77" t="s">
        <v>6</v>
      </c>
      <c r="B10" s="77" t="s">
        <v>6</v>
      </c>
      <c r="C10" s="77" t="s">
        <v>6</v>
      </c>
      <c r="D10" s="77" t="s">
        <v>6</v>
      </c>
      <c r="E10" s="77" t="s">
        <v>6</v>
      </c>
      <c r="F10" s="77" t="s">
        <v>6</v>
      </c>
    </row>
    <row r="11" spans="1:6">
      <c r="A11" s="8" t="s">
        <v>6</v>
      </c>
      <c r="B11" s="8" t="s">
        <v>27</v>
      </c>
      <c r="C11" s="8" t="s">
        <v>6</v>
      </c>
      <c r="D11" s="8" t="s">
        <v>81</v>
      </c>
      <c r="E11" s="8" t="s">
        <v>81</v>
      </c>
      <c r="F11" s="8" t="s">
        <v>82</v>
      </c>
    </row>
    <row r="12" spans="1:6" ht="15.75" thickBot="1">
      <c r="A12" s="7" t="s">
        <v>34</v>
      </c>
      <c r="B12" s="7" t="s">
        <v>35</v>
      </c>
      <c r="C12" s="7" t="s">
        <v>83</v>
      </c>
      <c r="D12" s="7" t="s">
        <v>84</v>
      </c>
      <c r="E12" s="7" t="s">
        <v>85</v>
      </c>
      <c r="F12" s="7" t="s">
        <v>86</v>
      </c>
    </row>
    <row r="13" spans="1:6">
      <c r="A13" s="9" t="s">
        <v>6</v>
      </c>
      <c r="B13" s="9" t="s">
        <v>6</v>
      </c>
      <c r="C13" s="9" t="s">
        <v>41</v>
      </c>
      <c r="D13" s="115" t="s">
        <v>87</v>
      </c>
      <c r="E13" s="9" t="s">
        <v>6</v>
      </c>
      <c r="F13" s="9" t="s">
        <v>6</v>
      </c>
    </row>
    <row r="14" spans="1:6">
      <c r="A14" s="8"/>
      <c r="B14" s="8"/>
      <c r="C14" s="8"/>
      <c r="D14" s="8"/>
      <c r="E14" s="8"/>
      <c r="F14" s="8"/>
    </row>
    <row r="15" spans="1:6">
      <c r="A15" s="22" t="s">
        <v>6</v>
      </c>
      <c r="B15" s="3" t="s">
        <v>6</v>
      </c>
      <c r="C15" s="98" t="s">
        <v>6</v>
      </c>
      <c r="D15" s="98" t="s">
        <v>6</v>
      </c>
      <c r="E15" s="99" t="s">
        <v>6</v>
      </c>
      <c r="F15" s="100" t="s">
        <v>6</v>
      </c>
    </row>
    <row r="16" spans="1:6">
      <c r="A16" s="22" t="s">
        <v>89</v>
      </c>
      <c r="B16" s="3" t="s">
        <v>90</v>
      </c>
      <c r="C16" s="78">
        <v>168.4</v>
      </c>
      <c r="D16" s="78">
        <v>11.35</v>
      </c>
      <c r="E16" s="78">
        <f t="shared" ref="E16" si="0">C16/D16</f>
        <v>14.837004405286345</v>
      </c>
      <c r="F16" s="79">
        <f t="shared" ref="F16" si="1">1/E16</f>
        <v>6.7399049881235143E-2</v>
      </c>
    </row>
    <row r="17" spans="1:6" ht="15.75" thickBot="1">
      <c r="A17" s="82"/>
      <c r="B17" s="101"/>
      <c r="C17" s="101"/>
      <c r="D17" s="102"/>
      <c r="E17" s="102"/>
      <c r="F17" s="103"/>
    </row>
    <row r="18" spans="1:6" ht="15.75" thickTop="1">
      <c r="B18" s="3"/>
      <c r="C18" s="104"/>
      <c r="D18" s="104"/>
      <c r="E18" s="104"/>
      <c r="F18" s="89"/>
    </row>
    <row r="19" spans="1:6">
      <c r="B19" s="3" t="s">
        <v>57</v>
      </c>
      <c r="C19" s="104">
        <f>MEDIAN(C16:C16)</f>
        <v>168.4</v>
      </c>
      <c r="D19" s="104">
        <f>MEDIAN(D16:D16)</f>
        <v>11.35</v>
      </c>
      <c r="E19" s="104">
        <f>MEDIAN(E16:E16)</f>
        <v>14.837004405286345</v>
      </c>
      <c r="F19" s="89">
        <f>MEDIAN(F16:F16)</f>
        <v>6.7399049881235143E-2</v>
      </c>
    </row>
    <row r="20" spans="1:6">
      <c r="B20" s="3" t="s">
        <v>25</v>
      </c>
      <c r="C20" s="104">
        <f>AVERAGE(C16:C16)</f>
        <v>168.4</v>
      </c>
      <c r="D20" s="104">
        <f>AVERAGE(D16:D16)</f>
        <v>11.35</v>
      </c>
      <c r="E20" s="104">
        <f>AVERAGE(E16:E16)</f>
        <v>14.837004405286345</v>
      </c>
      <c r="F20" s="89">
        <f>AVERAGE(F16:F16)</f>
        <v>6.7399049881235143E-2</v>
      </c>
    </row>
    <row r="21" spans="1:6">
      <c r="B21" s="3"/>
      <c r="C21" s="99"/>
      <c r="D21" s="99"/>
      <c r="E21" s="99"/>
      <c r="F21" s="91"/>
    </row>
    <row r="22" spans="1:6" ht="21">
      <c r="B22" s="3"/>
      <c r="C22" s="99"/>
      <c r="D22" s="99"/>
      <c r="E22" s="105" t="s">
        <v>20</v>
      </c>
      <c r="F22" s="93">
        <v>6.7400000000000002E-2</v>
      </c>
    </row>
    <row r="23" spans="1:6">
      <c r="B23" s="3"/>
      <c r="C23" s="106"/>
      <c r="D23" s="106"/>
      <c r="E23" s="106"/>
      <c r="F23" s="107"/>
    </row>
  </sheetData>
  <pageMargins left="0.25" right="0.25" top="0.75" bottom="0.75" header="0.3" footer="0.3"/>
  <pageSetup scale="7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G24"/>
  <sheetViews>
    <sheetView zoomScaleNormal="100" workbookViewId="0">
      <selection activeCell="D25" sqref="D25"/>
    </sheetView>
  </sheetViews>
  <sheetFormatPr defaultRowHeight="15"/>
  <cols>
    <col min="1" max="1" width="24.85546875" customWidth="1"/>
    <col min="2" max="2" width="13.28515625" bestFit="1" customWidth="1"/>
    <col min="3" max="3" width="28.5703125" customWidth="1"/>
    <col min="4" max="4" width="12" bestFit="1" customWidth="1"/>
    <col min="5" max="5" width="20.85546875" bestFit="1" customWidth="1"/>
    <col min="6" max="6" width="13" bestFit="1" customWidth="1"/>
  </cols>
  <sheetData>
    <row r="1" spans="1:7" ht="21">
      <c r="C1" s="1" t="s">
        <v>0</v>
      </c>
    </row>
    <row r="2" spans="1:7" ht="15.75">
      <c r="C2" s="2" t="s">
        <v>1</v>
      </c>
    </row>
    <row r="4" spans="1:7">
      <c r="C4" s="3" t="s">
        <v>2</v>
      </c>
    </row>
    <row r="5" spans="1:7">
      <c r="C5" s="3" t="s">
        <v>3</v>
      </c>
    </row>
    <row r="8" spans="1:7">
      <c r="D8" s="4"/>
    </row>
    <row r="10" spans="1:7" ht="15.75" thickBot="1">
      <c r="B10" s="5"/>
      <c r="C10" s="5"/>
      <c r="D10" s="5"/>
    </row>
    <row r="11" spans="1:7" ht="21">
      <c r="C11" s="6" t="s">
        <v>145</v>
      </c>
    </row>
    <row r="12" spans="1:7" ht="15.75" thickBot="1">
      <c r="B12" s="5"/>
      <c r="C12" s="7" t="s">
        <v>5</v>
      </c>
      <c r="D12" s="5"/>
    </row>
    <row r="13" spans="1:7" ht="15.75" thickBot="1">
      <c r="A13" s="5"/>
      <c r="B13" s="5"/>
      <c r="C13" s="7" t="s">
        <v>6</v>
      </c>
      <c r="D13" s="5"/>
      <c r="E13" s="5"/>
      <c r="F13" s="5"/>
      <c r="G13" s="5"/>
    </row>
    <row r="14" spans="1:7">
      <c r="A14" s="8" t="s">
        <v>7</v>
      </c>
      <c r="B14" s="8" t="s">
        <v>8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6</v>
      </c>
    </row>
    <row r="15" spans="1:7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  <c r="G15" s="7" t="s">
        <v>6</v>
      </c>
    </row>
    <row r="16" spans="1:7">
      <c r="A16" s="9" t="s">
        <v>6</v>
      </c>
      <c r="B16" s="9" t="s">
        <v>6</v>
      </c>
      <c r="C16" s="9" t="s">
        <v>6</v>
      </c>
      <c r="D16" s="9" t="s">
        <v>6</v>
      </c>
      <c r="E16" s="9" t="s">
        <v>6</v>
      </c>
      <c r="F16" s="9" t="s">
        <v>6</v>
      </c>
      <c r="G16" s="9" t="s">
        <v>6</v>
      </c>
    </row>
    <row r="17" spans="1:7">
      <c r="A17" s="8"/>
      <c r="B17" s="8"/>
      <c r="C17" s="8"/>
      <c r="D17" s="8"/>
      <c r="E17" s="8"/>
      <c r="F17" s="8"/>
      <c r="G17" s="8"/>
    </row>
    <row r="18" spans="1:7" ht="15.75">
      <c r="A18" s="2" t="s">
        <v>17</v>
      </c>
      <c r="B18" s="16">
        <v>0.41</v>
      </c>
      <c r="C18" s="11">
        <v>0.17380000000000001</v>
      </c>
      <c r="D18" s="2" t="s">
        <v>6</v>
      </c>
      <c r="E18" s="11">
        <f>+C18</f>
        <v>0.17380000000000001</v>
      </c>
      <c r="F18" s="12">
        <f>+E18*B18</f>
        <v>7.1258000000000002E-2</v>
      </c>
      <c r="G18" s="13" t="s">
        <v>6</v>
      </c>
    </row>
    <row r="19" spans="1:7" ht="15.75">
      <c r="A19" s="2" t="s">
        <v>6</v>
      </c>
      <c r="B19" s="14" t="s">
        <v>6</v>
      </c>
      <c r="C19" s="2" t="s">
        <v>6</v>
      </c>
      <c r="D19" s="2" t="s">
        <v>6</v>
      </c>
      <c r="E19" s="15" t="s">
        <v>6</v>
      </c>
      <c r="F19" s="12" t="s">
        <v>6</v>
      </c>
      <c r="G19" s="13" t="s">
        <v>6</v>
      </c>
    </row>
    <row r="20" spans="1:7" ht="15.75">
      <c r="A20" s="2" t="s">
        <v>18</v>
      </c>
      <c r="B20" s="16">
        <v>0.59</v>
      </c>
      <c r="C20" s="16">
        <v>6.13E-2</v>
      </c>
      <c r="D20" s="190">
        <v>0.26</v>
      </c>
      <c r="E20" s="155">
        <f>+C20*(1-D20)</f>
        <v>4.5362E-2</v>
      </c>
      <c r="F20" s="54">
        <f>+B20*E20</f>
        <v>2.6763579999999999E-2</v>
      </c>
      <c r="G20" s="13" t="s">
        <v>6</v>
      </c>
    </row>
    <row r="21" spans="1:7" ht="16.5" thickBot="1">
      <c r="A21" s="17" t="s">
        <v>6</v>
      </c>
      <c r="B21" s="17" t="s">
        <v>6</v>
      </c>
      <c r="C21" s="17" t="s">
        <v>6</v>
      </c>
      <c r="D21" s="17" t="s">
        <v>6</v>
      </c>
      <c r="E21" s="18" t="s">
        <v>6</v>
      </c>
      <c r="F21" s="19" t="s">
        <v>6</v>
      </c>
      <c r="G21" s="20" t="s">
        <v>6</v>
      </c>
    </row>
    <row r="22" spans="1:7" ht="15.75">
      <c r="A22" s="2" t="s">
        <v>19</v>
      </c>
      <c r="B22" s="21">
        <f>+B18+B20</f>
        <v>1</v>
      </c>
      <c r="C22" s="2" t="s">
        <v>6</v>
      </c>
      <c r="D22" s="2" t="s">
        <v>6</v>
      </c>
      <c r="E22" s="15" t="s">
        <v>6</v>
      </c>
      <c r="F22" s="12">
        <f>+F18+F20</f>
        <v>9.8021579999999997E-2</v>
      </c>
      <c r="G22" s="13" t="s">
        <v>6</v>
      </c>
    </row>
    <row r="23" spans="1:7">
      <c r="A23" s="22"/>
      <c r="B23" s="22"/>
      <c r="C23" s="22"/>
      <c r="D23" s="22"/>
      <c r="E23" s="22"/>
      <c r="F23" s="22"/>
      <c r="G23" s="22"/>
    </row>
    <row r="24" spans="1:7" ht="15.75">
      <c r="E24" s="15" t="s">
        <v>20</v>
      </c>
      <c r="F24" s="54">
        <v>9.8000000000000004E-2</v>
      </c>
    </row>
  </sheetData>
  <pageMargins left="0.25" right="0.25" top="0.75" bottom="0.75" header="0.3" footer="0.3"/>
  <pageSetup scale="8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65"/>
  <sheetViews>
    <sheetView topLeftCell="A19" zoomScale="80" zoomScaleNormal="80" zoomScalePageLayoutView="70" workbookViewId="0">
      <pane xSplit="1" topLeftCell="B1" activePane="topRight" state="frozen"/>
      <selection activeCell="D9" sqref="D9"/>
      <selection pane="topRight" activeCell="F15" sqref="F15"/>
    </sheetView>
  </sheetViews>
  <sheetFormatPr defaultRowHeight="15"/>
  <cols>
    <col min="1" max="1" width="55.7109375" customWidth="1"/>
    <col min="2" max="2" width="10.85546875" bestFit="1" customWidth="1"/>
    <col min="3" max="3" width="19" customWidth="1"/>
    <col min="4" max="4" width="22.7109375" customWidth="1"/>
    <col min="5" max="5" width="28.140625" customWidth="1"/>
    <col min="6" max="6" width="25.140625" customWidth="1"/>
    <col min="7" max="7" width="26.42578125" customWidth="1"/>
    <col min="8" max="8" width="25" customWidth="1"/>
    <col min="9" max="9" width="28" customWidth="1"/>
    <col min="10" max="10" width="26.28515625" customWidth="1"/>
    <col min="11" max="11" width="23.42578125" customWidth="1"/>
    <col min="12" max="12" width="28" customWidth="1"/>
    <col min="13" max="13" width="30.140625" bestFit="1" customWidth="1"/>
    <col min="14" max="14" width="9.14062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E4" s="4" t="s">
        <v>6</v>
      </c>
      <c r="K4" t="s">
        <v>6</v>
      </c>
    </row>
    <row r="6" spans="1:12">
      <c r="A6" s="25" t="s">
        <v>21</v>
      </c>
      <c r="B6" s="26"/>
      <c r="C6" s="26"/>
      <c r="D6" s="26"/>
      <c r="E6" s="26"/>
      <c r="F6" s="26"/>
      <c r="G6" s="27"/>
      <c r="H6" s="28"/>
      <c r="I6" s="28"/>
      <c r="J6" s="29"/>
      <c r="K6" s="29"/>
      <c r="L6" s="29"/>
    </row>
    <row r="7" spans="1:1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.7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20.25">
      <c r="A9" s="31" t="s">
        <v>94</v>
      </c>
      <c r="B9" s="28"/>
      <c r="C9" s="28"/>
      <c r="D9" s="28"/>
      <c r="E9" s="28"/>
      <c r="F9" s="28"/>
      <c r="G9" s="28"/>
      <c r="H9" s="28"/>
      <c r="I9" s="28"/>
      <c r="J9" s="28"/>
    </row>
    <row r="10" spans="1:12" ht="15.75" thickBot="1">
      <c r="A10" s="32" t="s">
        <v>6</v>
      </c>
      <c r="B10" s="33" t="s">
        <v>6</v>
      </c>
      <c r="C10" s="33" t="s">
        <v>6</v>
      </c>
      <c r="D10" s="33"/>
      <c r="E10" s="33"/>
      <c r="F10" s="33"/>
      <c r="G10" s="33" t="s">
        <v>6</v>
      </c>
      <c r="H10" s="34"/>
      <c r="I10" s="34"/>
      <c r="J10" s="34"/>
    </row>
    <row r="11" spans="1:12" ht="15.75">
      <c r="A11" s="117"/>
      <c r="B11" s="117"/>
      <c r="C11" s="117"/>
      <c r="F11" s="117"/>
      <c r="G11" s="117"/>
      <c r="H11" s="36" t="s">
        <v>23</v>
      </c>
      <c r="I11" s="36" t="s">
        <v>6</v>
      </c>
      <c r="J11" s="118"/>
    </row>
    <row r="12" spans="1:12" ht="15.75">
      <c r="A12" s="35"/>
      <c r="B12" s="35"/>
      <c r="C12" s="35"/>
      <c r="D12" s="440" t="s">
        <v>30</v>
      </c>
      <c r="E12" s="441"/>
      <c r="F12" s="40" t="s">
        <v>30</v>
      </c>
      <c r="G12" s="35"/>
      <c r="H12" s="35" t="s">
        <v>26</v>
      </c>
      <c r="I12" s="36" t="s">
        <v>23</v>
      </c>
      <c r="J12" s="36" t="s">
        <v>23</v>
      </c>
    </row>
    <row r="13" spans="1:12" ht="15.75">
      <c r="A13" s="35" t="s">
        <v>6</v>
      </c>
      <c r="B13" s="35" t="s">
        <v>27</v>
      </c>
      <c r="C13" s="35" t="s">
        <v>28</v>
      </c>
      <c r="D13" s="440" t="s">
        <v>29</v>
      </c>
      <c r="E13" s="441"/>
      <c r="F13" s="40" t="s">
        <v>25</v>
      </c>
      <c r="G13" s="36" t="s">
        <v>23</v>
      </c>
      <c r="H13" s="35" t="s">
        <v>31</v>
      </c>
      <c r="I13" s="37" t="s">
        <v>32</v>
      </c>
      <c r="J13" s="37" t="s">
        <v>33</v>
      </c>
    </row>
    <row r="14" spans="1:12" ht="16.5" thickBot="1">
      <c r="A14" s="38" t="s">
        <v>34</v>
      </c>
      <c r="B14" s="38" t="s">
        <v>35</v>
      </c>
      <c r="C14" s="38" t="s">
        <v>36</v>
      </c>
      <c r="D14" s="38" t="s">
        <v>37</v>
      </c>
      <c r="E14" s="38" t="s">
        <v>38</v>
      </c>
      <c r="F14" s="38" t="s">
        <v>29</v>
      </c>
      <c r="G14" s="38" t="s">
        <v>29</v>
      </c>
      <c r="H14" s="41" t="s">
        <v>39</v>
      </c>
      <c r="I14" s="38" t="s">
        <v>40</v>
      </c>
      <c r="J14" s="38" t="s">
        <v>40</v>
      </c>
    </row>
    <row r="15" spans="1:12" ht="15.75">
      <c r="A15" s="42" t="s">
        <v>41</v>
      </c>
      <c r="B15" s="42" t="s">
        <v>41</v>
      </c>
      <c r="C15" s="42" t="s">
        <v>41</v>
      </c>
      <c r="D15" s="42" t="s">
        <v>95</v>
      </c>
      <c r="E15" s="42" t="s">
        <v>95</v>
      </c>
      <c r="F15" s="42"/>
      <c r="G15" s="42" t="s">
        <v>41</v>
      </c>
      <c r="H15" s="42" t="s">
        <v>42</v>
      </c>
      <c r="I15" s="42" t="s">
        <v>42</v>
      </c>
      <c r="J15" s="42" t="s">
        <v>42</v>
      </c>
    </row>
    <row r="16" spans="1:12" ht="15.75">
      <c r="A16" s="35"/>
      <c r="B16" s="35"/>
      <c r="C16" s="35"/>
      <c r="D16" s="35"/>
      <c r="E16" s="35"/>
      <c r="F16" s="35"/>
      <c r="G16" s="35"/>
      <c r="H16" s="35"/>
      <c r="I16" s="44"/>
      <c r="J16" s="44"/>
    </row>
    <row r="17" spans="1:14" ht="15.75">
      <c r="A17" s="22" t="s">
        <v>146</v>
      </c>
      <c r="B17" s="120" t="s">
        <v>147</v>
      </c>
      <c r="C17" s="2" t="s">
        <v>74</v>
      </c>
      <c r="D17" s="45">
        <v>52.62</v>
      </c>
      <c r="E17" s="45">
        <v>51.87</v>
      </c>
      <c r="F17" s="46">
        <f t="shared" ref="F17:F25" si="0">AVERAGE(D17,E17)</f>
        <v>52.244999999999997</v>
      </c>
      <c r="G17" s="46">
        <v>52</v>
      </c>
      <c r="H17" s="47">
        <f>124217590-9349944</f>
        <v>114867646</v>
      </c>
      <c r="I17" s="47">
        <v>0</v>
      </c>
      <c r="J17" s="47">
        <f>2357000000+1138000000</f>
        <v>3495000000</v>
      </c>
      <c r="M17" t="s">
        <v>6</v>
      </c>
    </row>
    <row r="18" spans="1:14" ht="15.75">
      <c r="A18" s="119" t="s">
        <v>148</v>
      </c>
      <c r="B18" s="120" t="s">
        <v>149</v>
      </c>
      <c r="C18" s="121" t="s">
        <v>74</v>
      </c>
      <c r="D18" s="45">
        <v>190.51</v>
      </c>
      <c r="E18" s="45">
        <v>182.96</v>
      </c>
      <c r="F18" s="46">
        <f t="shared" si="0"/>
        <v>186.73500000000001</v>
      </c>
      <c r="G18" s="46">
        <v>189.24</v>
      </c>
      <c r="H18" s="122">
        <f>16405565-6692172</f>
        <v>9713393</v>
      </c>
      <c r="I18" s="47">
        <v>0</v>
      </c>
      <c r="J18" s="152">
        <f>1441777000+217234000</f>
        <v>1659011000</v>
      </c>
      <c r="M18" s="153"/>
      <c r="N18" s="154"/>
    </row>
    <row r="19" spans="1:14" ht="15.75">
      <c r="A19" s="119" t="s">
        <v>117</v>
      </c>
      <c r="B19" s="120" t="s">
        <v>118</v>
      </c>
      <c r="C19" s="121" t="s">
        <v>98</v>
      </c>
      <c r="D19" s="45">
        <v>16.09</v>
      </c>
      <c r="E19" s="45">
        <v>15.63</v>
      </c>
      <c r="F19" s="46">
        <f t="shared" si="0"/>
        <v>15.86</v>
      </c>
      <c r="G19" s="45">
        <v>15.77</v>
      </c>
      <c r="H19" s="47">
        <v>621479522</v>
      </c>
      <c r="I19" s="47">
        <v>0</v>
      </c>
      <c r="J19" s="152">
        <f>29796000000+2797000000</f>
        <v>32593000000</v>
      </c>
      <c r="M19" s="153"/>
      <c r="N19" s="154"/>
    </row>
    <row r="20" spans="1:14" ht="15.75">
      <c r="A20" s="119" t="s">
        <v>108</v>
      </c>
      <c r="B20" s="120" t="s">
        <v>109</v>
      </c>
      <c r="C20" s="121" t="s">
        <v>98</v>
      </c>
      <c r="D20" s="45">
        <v>40.74</v>
      </c>
      <c r="E20" s="45">
        <v>39.76</v>
      </c>
      <c r="F20" s="46">
        <f t="shared" si="0"/>
        <v>40.25</v>
      </c>
      <c r="G20" s="46">
        <v>40.21</v>
      </c>
      <c r="H20" s="47">
        <f>647352203-9169683</f>
        <v>638182520</v>
      </c>
      <c r="I20" s="47">
        <v>0</v>
      </c>
      <c r="J20" s="47">
        <f>27425000000+1732000000</f>
        <v>29157000000</v>
      </c>
      <c r="M20" s="144"/>
      <c r="N20" s="144"/>
    </row>
    <row r="21" spans="1:14" ht="15.75">
      <c r="A21" s="119" t="s">
        <v>150</v>
      </c>
      <c r="B21" s="120" t="s">
        <v>151</v>
      </c>
      <c r="C21" s="121" t="s">
        <v>74</v>
      </c>
      <c r="D21" s="45">
        <v>14.79</v>
      </c>
      <c r="E21" s="45">
        <v>14.45</v>
      </c>
      <c r="F21" s="46">
        <f t="shared" si="0"/>
        <v>14.62</v>
      </c>
      <c r="G21" s="46">
        <v>14.54</v>
      </c>
      <c r="H21" s="47">
        <v>316000000</v>
      </c>
      <c r="I21" s="47">
        <v>0</v>
      </c>
      <c r="J21" s="47">
        <f>4413000000+450000000</f>
        <v>4863000000</v>
      </c>
    </row>
    <row r="22" spans="1:14" ht="15.75">
      <c r="A22" s="60" t="s">
        <v>113</v>
      </c>
      <c r="B22" s="147" t="s">
        <v>114</v>
      </c>
      <c r="C22" s="45" t="s">
        <v>74</v>
      </c>
      <c r="D22" s="45">
        <v>40.94</v>
      </c>
      <c r="E22" s="46">
        <v>39.64</v>
      </c>
      <c r="F22" s="46">
        <f t="shared" si="0"/>
        <v>40.29</v>
      </c>
      <c r="G22" s="46">
        <v>40.31</v>
      </c>
      <c r="H22" s="47">
        <f>82094985-31913635</f>
        <v>50181350</v>
      </c>
      <c r="I22" s="47">
        <v>0</v>
      </c>
      <c r="J22" s="47">
        <f>2801538000+402158000</f>
        <v>3203696000</v>
      </c>
    </row>
    <row r="23" spans="1:14" ht="15.75">
      <c r="A23" s="119" t="s">
        <v>122</v>
      </c>
      <c r="B23" s="120" t="s">
        <v>123</v>
      </c>
      <c r="C23" s="121" t="s">
        <v>74</v>
      </c>
      <c r="D23" s="45">
        <v>46.78</v>
      </c>
      <c r="E23" s="45">
        <v>45.68</v>
      </c>
      <c r="F23" s="46">
        <f t="shared" si="0"/>
        <v>46.230000000000004</v>
      </c>
      <c r="G23" s="46">
        <v>46.61</v>
      </c>
      <c r="H23" s="47">
        <f>888111634-297637297</f>
        <v>590474337</v>
      </c>
      <c r="I23" s="47">
        <v>0</v>
      </c>
      <c r="J23" s="47">
        <f>10111000000+220000000</f>
        <v>10331000000</v>
      </c>
      <c r="M23" t="s">
        <v>6</v>
      </c>
    </row>
    <row r="24" spans="1:14" ht="15.75">
      <c r="A24" s="119" t="s">
        <v>152</v>
      </c>
      <c r="B24" s="120" t="s">
        <v>153</v>
      </c>
      <c r="C24" s="121" t="s">
        <v>74</v>
      </c>
      <c r="D24" s="45">
        <v>24.89</v>
      </c>
      <c r="E24" s="45">
        <v>24.21</v>
      </c>
      <c r="F24" s="46">
        <f t="shared" si="0"/>
        <v>24.55</v>
      </c>
      <c r="G24" s="46">
        <v>24.45</v>
      </c>
      <c r="H24" s="47">
        <f>97689583-1737620</f>
        <v>95951963</v>
      </c>
      <c r="I24" s="47">
        <v>0</v>
      </c>
      <c r="J24" s="47">
        <f>3066635000+384197000</f>
        <v>3450832000</v>
      </c>
      <c r="M24" t="s">
        <v>6</v>
      </c>
    </row>
    <row r="25" spans="1:14" ht="15.75">
      <c r="A25" s="119" t="s">
        <v>96</v>
      </c>
      <c r="B25" s="120" t="s">
        <v>97</v>
      </c>
      <c r="C25" s="121" t="s">
        <v>98</v>
      </c>
      <c r="D25" s="45">
        <v>44.56</v>
      </c>
      <c r="E25" s="45">
        <v>43.11</v>
      </c>
      <c r="F25" s="46">
        <f t="shared" si="0"/>
        <v>43.835000000000001</v>
      </c>
      <c r="G25" s="46">
        <v>43.25</v>
      </c>
      <c r="H25" s="122">
        <v>311845232</v>
      </c>
      <c r="I25" s="47">
        <v>0</v>
      </c>
      <c r="J25" s="47">
        <f>24836000000+1911000000</f>
        <v>26747000000</v>
      </c>
    </row>
    <row r="26" spans="1:14" ht="16.5" thickBot="1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4" ht="15.75">
      <c r="A27" s="49"/>
      <c r="B27" s="49"/>
      <c r="C27" s="49"/>
      <c r="D27" s="49"/>
      <c r="E27" s="49"/>
      <c r="F27" s="49"/>
      <c r="G27" s="49"/>
      <c r="H27" s="49"/>
      <c r="I27" s="49"/>
      <c r="J27" s="49"/>
    </row>
    <row r="28" spans="1:14" ht="15.75">
      <c r="A28" s="49"/>
      <c r="B28" s="49"/>
      <c r="C28" s="49"/>
      <c r="D28" s="49"/>
      <c r="E28" s="49"/>
      <c r="F28" s="49"/>
      <c r="G28" s="49"/>
      <c r="H28" s="49"/>
      <c r="I28" s="49"/>
      <c r="J28" s="49"/>
    </row>
    <row r="29" spans="1:14" ht="15.75">
      <c r="A29" s="49"/>
      <c r="B29" s="49"/>
      <c r="C29" s="49"/>
      <c r="D29" s="49"/>
      <c r="E29" s="36" t="s">
        <v>6</v>
      </c>
      <c r="F29" s="49"/>
      <c r="G29" s="49"/>
      <c r="H29" s="49"/>
      <c r="I29" s="49"/>
      <c r="J29" s="49"/>
      <c r="K29" s="49"/>
      <c r="L29" s="49"/>
    </row>
    <row r="30" spans="1:14" ht="15.75">
      <c r="A30" s="35"/>
      <c r="B30" s="35"/>
      <c r="C30" s="35"/>
      <c r="D30" s="36" t="s">
        <v>23</v>
      </c>
      <c r="E30" s="35" t="s">
        <v>23</v>
      </c>
      <c r="F30" s="36" t="s">
        <v>23</v>
      </c>
      <c r="G30" s="36" t="s">
        <v>23</v>
      </c>
      <c r="H30" s="36" t="s">
        <v>23</v>
      </c>
      <c r="I30" s="36" t="s">
        <v>23</v>
      </c>
      <c r="J30" s="36" t="s">
        <v>23</v>
      </c>
    </row>
    <row r="31" spans="1:14" ht="15.75">
      <c r="A31" s="35" t="s">
        <v>6</v>
      </c>
      <c r="B31" s="35" t="s">
        <v>27</v>
      </c>
      <c r="C31" s="35" t="s">
        <v>28</v>
      </c>
      <c r="D31" s="35" t="s">
        <v>26</v>
      </c>
      <c r="E31" s="37" t="s">
        <v>32</v>
      </c>
      <c r="F31" s="35" t="s">
        <v>46</v>
      </c>
      <c r="G31" s="37" t="s">
        <v>47</v>
      </c>
      <c r="H31" s="37" t="s">
        <v>48</v>
      </c>
      <c r="I31" s="37" t="s">
        <v>49</v>
      </c>
      <c r="J31" s="37" t="s">
        <v>99</v>
      </c>
    </row>
    <row r="32" spans="1:14" ht="16.5" thickBot="1">
      <c r="A32" s="38" t="s">
        <v>34</v>
      </c>
      <c r="B32" s="38" t="s">
        <v>35</v>
      </c>
      <c r="C32" s="38" t="s">
        <v>36</v>
      </c>
      <c r="D32" s="38" t="s">
        <v>51</v>
      </c>
      <c r="E32" s="38" t="s">
        <v>51</v>
      </c>
      <c r="F32" s="38" t="s">
        <v>51</v>
      </c>
      <c r="G32" s="38" t="s">
        <v>51</v>
      </c>
      <c r="H32" s="38" t="s">
        <v>52</v>
      </c>
      <c r="I32" s="38" t="s">
        <v>6</v>
      </c>
      <c r="J32" s="38" t="s">
        <v>6</v>
      </c>
    </row>
    <row r="33" spans="1:10" ht="15.75">
      <c r="A33" s="42" t="s">
        <v>41</v>
      </c>
      <c r="B33" s="42" t="s">
        <v>41</v>
      </c>
      <c r="C33" s="42" t="s">
        <v>41</v>
      </c>
      <c r="D33" s="42" t="s">
        <v>53</v>
      </c>
      <c r="E33" s="42" t="s">
        <v>42</v>
      </c>
      <c r="F33" s="42" t="s">
        <v>53</v>
      </c>
      <c r="G33" s="42" t="s">
        <v>42</v>
      </c>
      <c r="H33" s="42" t="s">
        <v>53</v>
      </c>
      <c r="I33" s="42" t="s">
        <v>53</v>
      </c>
      <c r="J33" s="42" t="s">
        <v>53</v>
      </c>
    </row>
    <row r="34" spans="1:10" ht="15.75">
      <c r="A34" s="35"/>
      <c r="B34" s="35"/>
      <c r="C34" s="35"/>
      <c r="D34" s="49"/>
      <c r="E34" s="49"/>
      <c r="G34" s="44"/>
      <c r="H34" s="44"/>
      <c r="I34" s="44"/>
      <c r="J34" s="44"/>
    </row>
    <row r="35" spans="1:10" ht="15.75">
      <c r="A35" s="119" t="str">
        <f t="shared" ref="A35:C43" si="1">+A17</f>
        <v xml:space="preserve">Alaska Air </v>
      </c>
      <c r="B35" s="120" t="str">
        <f t="shared" si="1"/>
        <v>ALK</v>
      </c>
      <c r="C35" s="121" t="str">
        <f t="shared" si="1"/>
        <v>AirTrans</v>
      </c>
      <c r="D35" s="145">
        <f>+G17*(H17)</f>
        <v>5973117592</v>
      </c>
      <c r="E35" s="52">
        <f t="shared" ref="E35:E43" si="2">(1/1)*I17</f>
        <v>0</v>
      </c>
      <c r="F35" s="191">
        <f t="shared" ref="F35:F43" si="3">G57</f>
        <v>1558000000</v>
      </c>
      <c r="G35" s="47">
        <f>(1778/1662)*J17</f>
        <v>3738935018.0505414</v>
      </c>
      <c r="H35" s="47">
        <f>+D35+E35+F35+G35</f>
        <v>11270052610.050541</v>
      </c>
      <c r="I35" s="54">
        <f t="shared" ref="I35:I43" si="4">+D35/H35</f>
        <v>0.52999908684305719</v>
      </c>
      <c r="J35" s="54">
        <f>(+F35+G35)/H35</f>
        <v>0.47000091315694281</v>
      </c>
    </row>
    <row r="36" spans="1:10" ht="15.75">
      <c r="A36" s="119" t="str">
        <f t="shared" si="1"/>
        <v xml:space="preserve">Allegiant Travel Co. </v>
      </c>
      <c r="B36" s="120" t="str">
        <f t="shared" si="1"/>
        <v>ALGT</v>
      </c>
      <c r="C36" s="121" t="str">
        <f t="shared" si="1"/>
        <v>AirTrans</v>
      </c>
      <c r="D36" s="145">
        <f>+G18*(H18)</f>
        <v>1838162491.3200002</v>
      </c>
      <c r="E36" s="52">
        <f t="shared" si="2"/>
        <v>0</v>
      </c>
      <c r="F36" s="192">
        <f t="shared" si="3"/>
        <v>116602000</v>
      </c>
      <c r="G36" s="47">
        <f>(1191008/1555637)*J18</f>
        <v>1270151952.6007674</v>
      </c>
      <c r="H36" s="47">
        <f>+D36+E36+F36+G36</f>
        <v>3224916443.9207678</v>
      </c>
      <c r="I36" s="54">
        <f>+D36/H36</f>
        <v>0.56998763325638635</v>
      </c>
      <c r="J36" s="54">
        <f>(+F36+G36)/H36</f>
        <v>0.43001236674361359</v>
      </c>
    </row>
    <row r="37" spans="1:10" ht="15.75">
      <c r="A37" s="119" t="str">
        <f t="shared" si="1"/>
        <v>American Airlines Group</v>
      </c>
      <c r="B37" s="120" t="str">
        <f t="shared" si="1"/>
        <v>AAL</v>
      </c>
      <c r="C37" s="121" t="str">
        <f t="shared" si="1"/>
        <v>Airtrans</v>
      </c>
      <c r="D37" s="145">
        <f>+G19*(H19)</f>
        <v>9800732061.9400005</v>
      </c>
      <c r="E37" s="52">
        <f t="shared" si="2"/>
        <v>0</v>
      </c>
      <c r="F37" s="191">
        <f t="shared" si="3"/>
        <v>8428000000</v>
      </c>
      <c r="G37" s="47">
        <f>(30454/32021)*J19</f>
        <v>30998008244.589489</v>
      </c>
      <c r="H37" s="47">
        <f t="shared" ref="H37:H43" si="5">+D37+E37+F37+G37</f>
        <v>49226740306.529495</v>
      </c>
      <c r="I37" s="54">
        <f t="shared" si="4"/>
        <v>0.19909366334053241</v>
      </c>
      <c r="J37" s="54">
        <f t="shared" ref="J37:J43" si="6">(+F37+G37)/H37</f>
        <v>0.80090633665946753</v>
      </c>
    </row>
    <row r="38" spans="1:10" ht="15.75">
      <c r="A38" s="119" t="str">
        <f t="shared" si="1"/>
        <v xml:space="preserve">Delta Air Lines </v>
      </c>
      <c r="B38" s="120" t="str">
        <f t="shared" si="1"/>
        <v>DAL</v>
      </c>
      <c r="C38" s="121" t="str">
        <f t="shared" si="1"/>
        <v>Airtrans</v>
      </c>
      <c r="D38" s="145">
        <f>+G20*(H20)</f>
        <v>25661319129.200001</v>
      </c>
      <c r="E38" s="52">
        <f t="shared" si="2"/>
        <v>0</v>
      </c>
      <c r="F38" s="191">
        <f>G60</f>
        <v>6391000000</v>
      </c>
      <c r="G38" s="47">
        <f>(29800/27974)*J20</f>
        <v>31060220204.475582</v>
      </c>
      <c r="H38" s="47">
        <f t="shared" si="5"/>
        <v>63112539333.675583</v>
      </c>
      <c r="I38" s="54">
        <f t="shared" si="4"/>
        <v>0.40659620734841256</v>
      </c>
      <c r="J38" s="54">
        <f t="shared" si="6"/>
        <v>0.59340379265158749</v>
      </c>
    </row>
    <row r="39" spans="1:10" ht="15.75">
      <c r="A39" s="119" t="str">
        <f t="shared" si="1"/>
        <v xml:space="preserve">JetBlue Airways </v>
      </c>
      <c r="B39" s="120" t="str">
        <f t="shared" si="1"/>
        <v>JBLU</v>
      </c>
      <c r="C39" s="121" t="str">
        <f t="shared" si="1"/>
        <v>AirTrans</v>
      </c>
      <c r="D39" s="145">
        <f t="shared" ref="D39:D43" si="7">+G21*(H21)</f>
        <v>4594640000</v>
      </c>
      <c r="E39" s="52">
        <f t="shared" si="2"/>
        <v>0</v>
      </c>
      <c r="F39" s="191">
        <f t="shared" si="3"/>
        <v>865000000</v>
      </c>
      <c r="G39" s="47">
        <f>(4930/4800)*J21</f>
        <v>4994706250</v>
      </c>
      <c r="H39" s="47">
        <f t="shared" si="5"/>
        <v>10454346250</v>
      </c>
      <c r="I39" s="54">
        <f t="shared" si="4"/>
        <v>0.43949567865135519</v>
      </c>
      <c r="J39" s="54">
        <f t="shared" si="6"/>
        <v>0.56050432134864481</v>
      </c>
    </row>
    <row r="40" spans="1:10" ht="15.75">
      <c r="A40" s="119" t="str">
        <f t="shared" si="1"/>
        <v>Skywest Inc</v>
      </c>
      <c r="B40" s="120" t="str">
        <f t="shared" si="1"/>
        <v>SKYW</v>
      </c>
      <c r="C40" s="121" t="str">
        <f t="shared" si="1"/>
        <v>AirTrans</v>
      </c>
      <c r="D40" s="145">
        <f t="shared" si="7"/>
        <v>2022810218.5</v>
      </c>
      <c r="E40" s="52">
        <f t="shared" si="2"/>
        <v>0</v>
      </c>
      <c r="F40" s="191">
        <f t="shared" si="3"/>
        <v>288486000</v>
      </c>
      <c r="G40" s="47">
        <f>(3244/3236)*J22</f>
        <v>3211616138.442522</v>
      </c>
      <c r="H40" s="47">
        <f t="shared" si="5"/>
        <v>5522912356.942522</v>
      </c>
      <c r="I40" s="54">
        <f t="shared" si="4"/>
        <v>0.36625788854991453</v>
      </c>
      <c r="J40" s="54">
        <f t="shared" si="6"/>
        <v>0.63374211145008552</v>
      </c>
    </row>
    <row r="41" spans="1:10" ht="15.75">
      <c r="A41" s="119" t="str">
        <f t="shared" si="1"/>
        <v xml:space="preserve">Southwest Airlines </v>
      </c>
      <c r="B41" s="120" t="str">
        <f t="shared" si="1"/>
        <v>LUV</v>
      </c>
      <c r="C41" s="121" t="str">
        <f t="shared" si="1"/>
        <v>AirTrans</v>
      </c>
      <c r="D41" s="145">
        <f t="shared" si="7"/>
        <v>27522008847.57</v>
      </c>
      <c r="E41" s="52">
        <f t="shared" si="2"/>
        <v>0</v>
      </c>
      <c r="F41" s="191">
        <f t="shared" si="3"/>
        <v>1868000000</v>
      </c>
      <c r="G41" s="47">
        <f>((311+140+1362+3359+1799+119+324+155+329+2383+145+183+515+953)/(300+137+1250+1945+1550+119+300+159+300+2000+119+184+500+976))*J23</f>
        <v>12680911373.107023</v>
      </c>
      <c r="H41" s="47">
        <f t="shared" si="5"/>
        <v>42070920220.677025</v>
      </c>
      <c r="I41" s="54">
        <f t="shared" si="4"/>
        <v>0.65418128967009082</v>
      </c>
      <c r="J41" s="54">
        <f t="shared" si="6"/>
        <v>0.34581871032990907</v>
      </c>
    </row>
    <row r="42" spans="1:10" ht="15.75">
      <c r="A42" s="119" t="str">
        <f t="shared" si="1"/>
        <v xml:space="preserve">Spirit Airlines </v>
      </c>
      <c r="B42" s="120" t="str">
        <f t="shared" si="1"/>
        <v>SAVE</v>
      </c>
      <c r="C42" s="121" t="str">
        <f t="shared" si="1"/>
        <v>AirTrans</v>
      </c>
      <c r="D42" s="145">
        <f t="shared" si="7"/>
        <v>2346025495.3499999</v>
      </c>
      <c r="E42" s="52">
        <f t="shared" si="2"/>
        <v>0</v>
      </c>
      <c r="F42" s="191">
        <f t="shared" si="3"/>
        <v>1382310000</v>
      </c>
      <c r="G42" s="47">
        <f>(3859.8/3580.5)*J24</f>
        <v>3720017135.4838715</v>
      </c>
      <c r="H42" s="47">
        <f t="shared" si="5"/>
        <v>7448352630.8338718</v>
      </c>
      <c r="I42" s="54">
        <f t="shared" si="4"/>
        <v>0.31497239881449507</v>
      </c>
      <c r="J42" s="54">
        <f t="shared" si="6"/>
        <v>0.68502760118550488</v>
      </c>
    </row>
    <row r="43" spans="1:10" ht="16.5" thickBot="1">
      <c r="A43" s="123" t="str">
        <f t="shared" si="1"/>
        <v>United Airlines Holdings Inc</v>
      </c>
      <c r="B43" s="124" t="str">
        <f t="shared" si="1"/>
        <v>UAL</v>
      </c>
      <c r="C43" s="125" t="str">
        <f t="shared" si="1"/>
        <v>Airtrans</v>
      </c>
      <c r="D43" s="126">
        <f t="shared" si="7"/>
        <v>13487306284</v>
      </c>
      <c r="E43" s="127">
        <f t="shared" si="2"/>
        <v>0</v>
      </c>
      <c r="F43" s="193">
        <f t="shared" si="3"/>
        <v>5598000000</v>
      </c>
      <c r="G43" s="129">
        <f>(27441/26747)*J25</f>
        <v>27441000000</v>
      </c>
      <c r="H43" s="129">
        <f t="shared" si="5"/>
        <v>46526306284</v>
      </c>
      <c r="I43" s="130">
        <f t="shared" si="4"/>
        <v>0.28988560152771398</v>
      </c>
      <c r="J43" s="130">
        <f t="shared" si="6"/>
        <v>0.71011439847228597</v>
      </c>
    </row>
    <row r="44" spans="1:10">
      <c r="G44" s="3" t="s">
        <v>6</v>
      </c>
    </row>
    <row r="45" spans="1:10" ht="15.75">
      <c r="H45" s="58" t="s">
        <v>55</v>
      </c>
      <c r="I45" s="194" t="s">
        <v>154</v>
      </c>
      <c r="J45" s="194" t="s">
        <v>155</v>
      </c>
    </row>
    <row r="46" spans="1:10" ht="15.75">
      <c r="A46" s="22" t="s">
        <v>54</v>
      </c>
      <c r="H46" s="58" t="s">
        <v>57</v>
      </c>
      <c r="I46" s="54">
        <f>MEDIAN(I35:I43)</f>
        <v>0.40659620734841256</v>
      </c>
      <c r="J46" s="54">
        <f>MEDIAN(J35:J43)</f>
        <v>0.59340379265158749</v>
      </c>
    </row>
    <row r="47" spans="1:10" ht="15.75">
      <c r="A47" s="22" t="s">
        <v>56</v>
      </c>
      <c r="F47" s="131" t="s">
        <v>6</v>
      </c>
      <c r="G47" t="s">
        <v>6</v>
      </c>
      <c r="H47" s="58" t="s">
        <v>25</v>
      </c>
      <c r="I47" s="54">
        <f>AVERAGE(I35:I43)</f>
        <v>0.4189410497779954</v>
      </c>
      <c r="J47" s="54">
        <f>AVERAGE(J35:J43)</f>
        <v>0.58105895022200471</v>
      </c>
    </row>
    <row r="48" spans="1:10" ht="15.75">
      <c r="A48" s="22" t="s">
        <v>58</v>
      </c>
      <c r="C48" s="132"/>
      <c r="D48" s="133"/>
      <c r="H48" s="24"/>
      <c r="I48" s="157"/>
      <c r="J48" s="157"/>
    </row>
    <row r="49" spans="3:10" ht="21">
      <c r="F49" s="131" t="s">
        <v>6</v>
      </c>
      <c r="H49" s="61" t="s">
        <v>20</v>
      </c>
      <c r="I49" s="163">
        <v>0.41</v>
      </c>
      <c r="J49" s="163">
        <v>0.59</v>
      </c>
    </row>
    <row r="50" spans="3:10">
      <c r="C50" s="132"/>
    </row>
    <row r="51" spans="3:10" ht="15.75">
      <c r="C51" s="132" t="s">
        <v>6</v>
      </c>
      <c r="H51" t="s">
        <v>6</v>
      </c>
      <c r="I51" s="24"/>
      <c r="J51" s="24"/>
    </row>
    <row r="52" spans="3:10">
      <c r="C52" s="132"/>
    </row>
    <row r="53" spans="3:10">
      <c r="C53" s="132"/>
    </row>
    <row r="54" spans="3:10">
      <c r="C54" s="132" t="s">
        <v>6</v>
      </c>
      <c r="H54" t="s">
        <v>6</v>
      </c>
    </row>
    <row r="55" spans="3:10">
      <c r="C55" s="132"/>
    </row>
    <row r="56" spans="3:10">
      <c r="C56" s="132"/>
      <c r="D56" s="67" t="s">
        <v>100</v>
      </c>
      <c r="E56" s="134" t="s">
        <v>34</v>
      </c>
      <c r="F56" s="69" t="s">
        <v>61</v>
      </c>
      <c r="G56" s="69" t="s">
        <v>62</v>
      </c>
      <c r="H56" t="s">
        <v>6</v>
      </c>
    </row>
    <row r="57" spans="3:10" ht="15.75">
      <c r="C57" s="132"/>
      <c r="D57" s="70">
        <v>602000000</v>
      </c>
      <c r="E57" s="71" t="str">
        <f t="shared" ref="E57:E65" si="8">+A35</f>
        <v xml:space="preserve">Alaska Air </v>
      </c>
      <c r="F57" s="72">
        <v>1400000000</v>
      </c>
      <c r="G57" s="72">
        <v>1558000000</v>
      </c>
    </row>
    <row r="58" spans="3:10" ht="15.75">
      <c r="C58" s="132"/>
      <c r="D58" s="70">
        <v>28142000</v>
      </c>
      <c r="E58" s="71" t="str">
        <f t="shared" si="8"/>
        <v xml:space="preserve">Allegiant Travel Co. </v>
      </c>
      <c r="F58" s="72">
        <v>115911000</v>
      </c>
      <c r="G58" s="195">
        <v>116602000</v>
      </c>
      <c r="H58" t="s">
        <v>6</v>
      </c>
    </row>
    <row r="59" spans="3:10" ht="15.75">
      <c r="C59" s="132"/>
      <c r="D59" s="70">
        <v>4585000000</v>
      </c>
      <c r="E59" s="71" t="str">
        <f t="shared" si="8"/>
        <v>American Airlines Group</v>
      </c>
      <c r="F59" s="72">
        <v>8039000000</v>
      </c>
      <c r="G59" s="72">
        <f>(1651+6777)*1000000</f>
        <v>8428000000</v>
      </c>
    </row>
    <row r="60" spans="3:10" ht="15.75">
      <c r="C60" s="132"/>
      <c r="D60" s="70">
        <v>2969000000</v>
      </c>
      <c r="E60" s="71" t="str">
        <f t="shared" si="8"/>
        <v xml:space="preserve">Delta Air Lines </v>
      </c>
      <c r="F60" s="72">
        <v>5733000000</v>
      </c>
      <c r="G60" s="72">
        <f>(678+5713)*1000000</f>
        <v>6391000000</v>
      </c>
    </row>
    <row r="61" spans="3:10" ht="15.75">
      <c r="D61" s="70">
        <v>818000000</v>
      </c>
      <c r="E61" s="71" t="str">
        <f t="shared" si="8"/>
        <v xml:space="preserve">JetBlue Airways </v>
      </c>
      <c r="F61" s="72">
        <v>804000000</v>
      </c>
      <c r="G61" s="72">
        <f>(113+752)*1000000</f>
        <v>865000000</v>
      </c>
    </row>
    <row r="62" spans="3:10" ht="15.75">
      <c r="D62" s="108">
        <f>(94915+4619)*1000</f>
        <v>99534000</v>
      </c>
      <c r="E62" s="109" t="str">
        <f t="shared" si="8"/>
        <v>Skywest Inc</v>
      </c>
      <c r="F62" s="110">
        <v>282362000</v>
      </c>
      <c r="G62" s="110">
        <f>(82641+205845)*1000</f>
        <v>288486000</v>
      </c>
    </row>
    <row r="63" spans="3:10" ht="15.75">
      <c r="D63" s="108">
        <v>935000000</v>
      </c>
      <c r="E63" s="109" t="str">
        <f t="shared" si="8"/>
        <v xml:space="preserve">Southwest Airlines </v>
      </c>
      <c r="F63" s="110">
        <v>1892000000</v>
      </c>
      <c r="G63" s="110">
        <f>(306+1562)*1000000</f>
        <v>1868000000</v>
      </c>
    </row>
    <row r="64" spans="3:10" ht="15.75">
      <c r="D64" s="108">
        <v>371600000</v>
      </c>
      <c r="E64" s="109" t="str">
        <f t="shared" si="8"/>
        <v xml:space="preserve">Spirit Airlines </v>
      </c>
      <c r="F64" s="110">
        <v>1417823000</v>
      </c>
      <c r="G64" s="110">
        <f>(133791+1248519)*1000</f>
        <v>1382310000</v>
      </c>
    </row>
    <row r="65" spans="4:7" ht="15.75">
      <c r="D65" s="108">
        <v>2831000000</v>
      </c>
      <c r="E65" s="109" t="str">
        <f t="shared" si="8"/>
        <v>United Airlines Holdings Inc</v>
      </c>
      <c r="F65" s="110">
        <v>4537000000</v>
      </c>
      <c r="G65" s="110">
        <f>(612+4986)*1000000</f>
        <v>5598000000</v>
      </c>
    </row>
  </sheetData>
  <mergeCells count="2">
    <mergeCell ref="D12:E12"/>
    <mergeCell ref="D13:E13"/>
  </mergeCells>
  <pageMargins left="0.25" right="0.25" top="0.75" bottom="0.75" header="0.3" footer="0.3"/>
  <pageSetup scale="41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J26"/>
  <sheetViews>
    <sheetView zoomScaleNormal="100" workbookViewId="0">
      <selection activeCell="L15" sqref="L15"/>
    </sheetView>
  </sheetViews>
  <sheetFormatPr defaultRowHeight="15"/>
  <cols>
    <col min="1" max="1" width="39" customWidth="1"/>
    <col min="2" max="2" width="16.5703125" customWidth="1"/>
    <col min="3" max="3" width="12.28515625" bestFit="1" customWidth="1"/>
    <col min="4" max="4" width="14.5703125" customWidth="1"/>
    <col min="5" max="5" width="16.42578125" customWidth="1"/>
    <col min="6" max="6" width="13.7109375" bestFit="1" customWidth="1"/>
    <col min="7" max="7" width="10.5703125" customWidth="1"/>
    <col min="8" max="8" width="23.5703125" bestFit="1" customWidth="1"/>
    <col min="9" max="9" width="16.42578125" customWidth="1"/>
    <col min="10" max="10" width="14.5703125" customWidth="1"/>
  </cols>
  <sheetData>
    <row r="1" spans="1:9" ht="21">
      <c r="A1" s="23" t="s">
        <v>0</v>
      </c>
    </row>
    <row r="2" spans="1:9" ht="15.75">
      <c r="A2" s="24" t="s">
        <v>1</v>
      </c>
    </row>
    <row r="3" spans="1:9">
      <c r="A3" s="22" t="s">
        <v>2</v>
      </c>
    </row>
    <row r="4" spans="1:9">
      <c r="F4" s="4" t="s">
        <v>6</v>
      </c>
    </row>
    <row r="5" spans="1:9" ht="15.75">
      <c r="A5" s="76" t="s">
        <v>101</v>
      </c>
    </row>
    <row r="6" spans="1:9" ht="15.75" thickBot="1">
      <c r="A6" s="77" t="s">
        <v>6</v>
      </c>
      <c r="B6" s="77" t="s">
        <v>6</v>
      </c>
      <c r="C6" s="77" t="s">
        <v>6</v>
      </c>
      <c r="D6" s="77"/>
      <c r="E6" s="77"/>
      <c r="F6" s="77" t="s">
        <v>6</v>
      </c>
      <c r="G6" s="77" t="s">
        <v>6</v>
      </c>
      <c r="H6" s="77" t="s">
        <v>6</v>
      </c>
      <c r="I6" s="5"/>
    </row>
    <row r="7" spans="1:9">
      <c r="A7" s="8" t="s">
        <v>6</v>
      </c>
      <c r="B7" s="8" t="s">
        <v>27</v>
      </c>
      <c r="C7" s="8" t="s">
        <v>28</v>
      </c>
      <c r="D7" s="8" t="s">
        <v>63</v>
      </c>
      <c r="E7" s="8" t="s">
        <v>64</v>
      </c>
      <c r="F7" s="8" t="s">
        <v>65</v>
      </c>
      <c r="G7" s="8" t="s">
        <v>66</v>
      </c>
      <c r="H7" s="8" t="s">
        <v>102</v>
      </c>
      <c r="I7" s="8" t="s">
        <v>6</v>
      </c>
    </row>
    <row r="8" spans="1:9" ht="15.75" thickBot="1">
      <c r="A8" s="7" t="s">
        <v>34</v>
      </c>
      <c r="B8" s="7" t="s">
        <v>35</v>
      </c>
      <c r="C8" s="7" t="s">
        <v>36</v>
      </c>
      <c r="D8" s="7"/>
      <c r="E8" s="7" t="s">
        <v>69</v>
      </c>
      <c r="F8" s="7" t="s">
        <v>70</v>
      </c>
      <c r="G8" s="7" t="s">
        <v>71</v>
      </c>
      <c r="H8" s="7" t="s">
        <v>71</v>
      </c>
      <c r="I8" s="7" t="s">
        <v>72</v>
      </c>
    </row>
    <row r="9" spans="1:9">
      <c r="A9" s="9" t="s">
        <v>41</v>
      </c>
      <c r="B9" s="9" t="s">
        <v>41</v>
      </c>
      <c r="C9" s="9" t="s">
        <v>41</v>
      </c>
      <c r="D9" s="9" t="s">
        <v>41</v>
      </c>
      <c r="E9" s="9" t="s">
        <v>41</v>
      </c>
      <c r="F9" s="9" t="s">
        <v>41</v>
      </c>
      <c r="G9" s="9" t="s">
        <v>66</v>
      </c>
      <c r="H9" s="9" t="s">
        <v>102</v>
      </c>
      <c r="I9" s="9" t="s">
        <v>68</v>
      </c>
    </row>
    <row r="10" spans="1:9">
      <c r="A10" s="8"/>
      <c r="B10" s="8"/>
      <c r="C10" s="8"/>
      <c r="D10" s="8"/>
      <c r="E10" s="8"/>
      <c r="F10" s="8"/>
      <c r="G10" s="8"/>
      <c r="H10" s="8"/>
    </row>
    <row r="11" spans="1:9">
      <c r="A11" s="119" t="s">
        <v>146</v>
      </c>
      <c r="B11" s="120" t="s">
        <v>147</v>
      </c>
      <c r="C11" s="3" t="s">
        <v>74</v>
      </c>
      <c r="D11" s="98">
        <v>1.5</v>
      </c>
      <c r="E11" s="81">
        <v>0</v>
      </c>
      <c r="F11" s="3" t="s">
        <v>133</v>
      </c>
      <c r="G11" s="78" t="s">
        <v>391</v>
      </c>
      <c r="H11" s="149" t="s">
        <v>156</v>
      </c>
      <c r="I11" s="136">
        <v>6.8000000000000005E-2</v>
      </c>
    </row>
    <row r="12" spans="1:9">
      <c r="A12" s="119" t="s">
        <v>148</v>
      </c>
      <c r="B12" s="120" t="s">
        <v>149</v>
      </c>
      <c r="C12" s="3" t="s">
        <v>74</v>
      </c>
      <c r="D12" s="98">
        <v>1.3</v>
      </c>
      <c r="E12" s="81">
        <v>0</v>
      </c>
      <c r="F12" s="135" t="s">
        <v>110</v>
      </c>
      <c r="G12" s="78" t="s">
        <v>133</v>
      </c>
      <c r="H12" s="78" t="s">
        <v>156</v>
      </c>
      <c r="I12" s="136">
        <v>6.8000000000000005E-2</v>
      </c>
    </row>
    <row r="13" spans="1:9">
      <c r="A13" s="119" t="s">
        <v>119</v>
      </c>
      <c r="B13" s="120" t="s">
        <v>118</v>
      </c>
      <c r="C13" s="3" t="s">
        <v>74</v>
      </c>
      <c r="D13" s="98">
        <v>1.65</v>
      </c>
      <c r="E13" s="81">
        <v>0</v>
      </c>
      <c r="F13" s="135" t="s">
        <v>120</v>
      </c>
      <c r="G13" s="78" t="s">
        <v>558</v>
      </c>
      <c r="H13" s="79" t="s">
        <v>559</v>
      </c>
      <c r="I13" s="136">
        <v>8.14E-2</v>
      </c>
    </row>
    <row r="14" spans="1:9">
      <c r="A14" s="119" t="s">
        <v>108</v>
      </c>
      <c r="B14" s="120" t="s">
        <v>109</v>
      </c>
      <c r="C14" s="3" t="s">
        <v>74</v>
      </c>
      <c r="D14" s="98">
        <v>1.55</v>
      </c>
      <c r="E14" s="81">
        <v>0</v>
      </c>
      <c r="F14" s="135" t="s">
        <v>110</v>
      </c>
      <c r="G14" s="78" t="s">
        <v>211</v>
      </c>
      <c r="H14" s="78" t="s">
        <v>111</v>
      </c>
      <c r="I14" s="136">
        <v>3.2899999999999999E-2</v>
      </c>
    </row>
    <row r="15" spans="1:9">
      <c r="A15" s="119" t="s">
        <v>150</v>
      </c>
      <c r="B15" s="120" t="s">
        <v>151</v>
      </c>
      <c r="C15" s="3" t="s">
        <v>74</v>
      </c>
      <c r="D15" s="98">
        <v>1.65</v>
      </c>
      <c r="E15" s="81">
        <v>0</v>
      </c>
      <c r="F15" s="135" t="s">
        <v>133</v>
      </c>
      <c r="G15" s="78" t="s">
        <v>110</v>
      </c>
      <c r="H15" s="78" t="s">
        <v>246</v>
      </c>
      <c r="I15" s="136">
        <v>6.13E-2</v>
      </c>
    </row>
    <row r="16" spans="1:9">
      <c r="A16" s="60" t="s">
        <v>113</v>
      </c>
      <c r="B16" s="147" t="s">
        <v>114</v>
      </c>
      <c r="C16" s="135" t="s">
        <v>74</v>
      </c>
      <c r="D16" s="98">
        <v>1.65</v>
      </c>
      <c r="E16" s="81">
        <v>0.24</v>
      </c>
      <c r="F16" s="135" t="s">
        <v>110</v>
      </c>
      <c r="G16" s="78" t="s">
        <v>6</v>
      </c>
      <c r="H16" s="149" t="s">
        <v>115</v>
      </c>
      <c r="I16" s="136">
        <v>3.2899999999999999E-2</v>
      </c>
    </row>
    <row r="17" spans="1:10">
      <c r="A17" s="119" t="s">
        <v>122</v>
      </c>
      <c r="B17" s="120" t="s">
        <v>123</v>
      </c>
      <c r="C17" s="3" t="s">
        <v>74</v>
      </c>
      <c r="D17" s="98">
        <v>1.1000000000000001</v>
      </c>
      <c r="E17" s="81">
        <v>0</v>
      </c>
      <c r="F17" s="135" t="s">
        <v>110</v>
      </c>
      <c r="G17" s="78" t="s">
        <v>76</v>
      </c>
      <c r="H17" s="78" t="s">
        <v>104</v>
      </c>
      <c r="I17" s="136">
        <v>3.2899999999999999E-2</v>
      </c>
    </row>
    <row r="18" spans="1:10">
      <c r="A18" s="119" t="s">
        <v>152</v>
      </c>
      <c r="B18" s="120" t="s">
        <v>153</v>
      </c>
      <c r="C18" s="3" t="s">
        <v>74</v>
      </c>
      <c r="D18" s="98">
        <v>1.85</v>
      </c>
      <c r="E18" s="81">
        <v>0</v>
      </c>
      <c r="F18" s="135" t="s">
        <v>133</v>
      </c>
      <c r="G18" s="78" t="s">
        <v>133</v>
      </c>
      <c r="H18" s="149" t="s">
        <v>157</v>
      </c>
      <c r="I18" s="136">
        <v>7.4700000000000003E-2</v>
      </c>
    </row>
    <row r="19" spans="1:10">
      <c r="A19" s="119" t="s">
        <v>96</v>
      </c>
      <c r="B19" s="120" t="s">
        <v>97</v>
      </c>
      <c r="C19" s="3" t="s">
        <v>74</v>
      </c>
      <c r="D19" s="98">
        <v>1.65</v>
      </c>
      <c r="E19" s="81">
        <v>0</v>
      </c>
      <c r="F19" s="135" t="s">
        <v>103</v>
      </c>
      <c r="G19" s="78" t="s">
        <v>110</v>
      </c>
      <c r="H19" s="79" t="s">
        <v>246</v>
      </c>
      <c r="I19" s="136">
        <v>6.13E-2</v>
      </c>
    </row>
    <row r="20" spans="1:10" ht="15.75" thickBot="1">
      <c r="A20" s="83" t="s">
        <v>6</v>
      </c>
      <c r="B20" s="137" t="s">
        <v>6</v>
      </c>
      <c r="C20" s="101" t="s">
        <v>6</v>
      </c>
      <c r="D20" s="101" t="s">
        <v>6</v>
      </c>
      <c r="E20" s="103" t="s">
        <v>6</v>
      </c>
      <c r="F20" s="101" t="s">
        <v>6</v>
      </c>
      <c r="G20" s="101" t="s">
        <v>6</v>
      </c>
      <c r="H20" s="103" t="s">
        <v>6</v>
      </c>
      <c r="I20" s="82"/>
    </row>
    <row r="21" spans="1:10" ht="15.75" thickTop="1">
      <c r="C21" s="87" t="s">
        <v>55</v>
      </c>
      <c r="D21" s="87" t="s">
        <v>158</v>
      </c>
      <c r="E21" s="196" t="s">
        <v>159</v>
      </c>
      <c r="F21" s="135" t="s">
        <v>6</v>
      </c>
      <c r="G21" s="98"/>
      <c r="H21" s="3"/>
      <c r="I21" s="196" t="s">
        <v>571</v>
      </c>
    </row>
    <row r="22" spans="1:10">
      <c r="C22" s="87" t="s">
        <v>57</v>
      </c>
      <c r="D22" s="88">
        <f>MEDIAN(D11:D19)</f>
        <v>1.65</v>
      </c>
      <c r="E22" s="186">
        <f>MEDIAN(E11:E19)</f>
        <v>0</v>
      </c>
      <c r="F22" s="197" t="s">
        <v>105</v>
      </c>
      <c r="G22" s="98" t="s">
        <v>133</v>
      </c>
      <c r="H22" s="80" t="s">
        <v>106</v>
      </c>
      <c r="I22" s="186">
        <f>MEDIAN(I11:I19)</f>
        <v>6.13E-2</v>
      </c>
    </row>
    <row r="23" spans="1:10">
      <c r="C23" s="87" t="s">
        <v>25</v>
      </c>
      <c r="D23" s="90">
        <f>AVERAGE(D11:D19)</f>
        <v>1.5444444444444443</v>
      </c>
      <c r="E23" s="13">
        <f>AVERAGE(E11:E19)</f>
        <v>2.6666666666666665E-2</v>
      </c>
      <c r="I23" s="13">
        <f>AVERAGE(I11:I19)</f>
        <v>5.7044444444444439E-2</v>
      </c>
    </row>
    <row r="24" spans="1:10">
      <c r="I24" s="144"/>
      <c r="J24" s="138"/>
    </row>
    <row r="25" spans="1:10" ht="21">
      <c r="H25" s="61" t="s">
        <v>78</v>
      </c>
      <c r="I25" s="150">
        <v>6.13E-2</v>
      </c>
      <c r="J25" s="93" t="s">
        <v>6</v>
      </c>
    </row>
    <row r="26" spans="1:10">
      <c r="A26" t="s">
        <v>160</v>
      </c>
    </row>
  </sheetData>
  <pageMargins left="0.25" right="0.25" top="0.75" bottom="0.75" header="0.3" footer="0.3"/>
  <pageSetup scale="55"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L40"/>
  <sheetViews>
    <sheetView topLeftCell="A4" zoomScale="90" zoomScaleNormal="90" workbookViewId="0">
      <selection activeCell="D9" sqref="D9"/>
    </sheetView>
  </sheetViews>
  <sheetFormatPr defaultRowHeight="15"/>
  <cols>
    <col min="1" max="1" width="43.7109375" customWidth="1"/>
    <col min="2" max="2" width="14.28515625" customWidth="1"/>
    <col min="3" max="3" width="16.85546875" customWidth="1"/>
    <col min="4" max="4" width="17.5703125" customWidth="1"/>
    <col min="5" max="5" width="15.42578125" customWidth="1"/>
    <col min="6" max="6" width="21.710937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D4" s="4" t="s">
        <v>6</v>
      </c>
    </row>
    <row r="5" spans="1:12" ht="15.75">
      <c r="A5" s="76" t="s">
        <v>101</v>
      </c>
    </row>
    <row r="6" spans="1:12" ht="15.75">
      <c r="A6" s="76"/>
    </row>
    <row r="7" spans="1:12" ht="18.75">
      <c r="A7" s="76"/>
      <c r="D7" s="95" t="s">
        <v>79</v>
      </c>
    </row>
    <row r="8" spans="1:12" ht="18.75">
      <c r="A8" s="76"/>
      <c r="D8" s="95" t="s">
        <v>80</v>
      </c>
    </row>
    <row r="9" spans="1:12" ht="15.75">
      <c r="A9" s="76"/>
    </row>
    <row r="10" spans="1:12" ht="15.75" thickBot="1">
      <c r="A10" s="77" t="s">
        <v>6</v>
      </c>
      <c r="B10" s="77" t="s">
        <v>6</v>
      </c>
      <c r="C10" s="77" t="s">
        <v>6</v>
      </c>
      <c r="D10" s="77" t="s">
        <v>6</v>
      </c>
      <c r="E10" s="77" t="s">
        <v>6</v>
      </c>
      <c r="F10" s="77" t="s">
        <v>6</v>
      </c>
    </row>
    <row r="11" spans="1:12">
      <c r="A11" s="8" t="s">
        <v>6</v>
      </c>
      <c r="B11" s="8" t="s">
        <v>27</v>
      </c>
      <c r="C11" s="8" t="s">
        <v>6</v>
      </c>
      <c r="D11" s="8" t="s">
        <v>81</v>
      </c>
      <c r="E11" s="8" t="s">
        <v>81</v>
      </c>
      <c r="F11" s="8" t="s">
        <v>82</v>
      </c>
    </row>
    <row r="12" spans="1:12" ht="15.75" thickBot="1">
      <c r="A12" s="7" t="s">
        <v>34</v>
      </c>
      <c r="B12" s="7" t="s">
        <v>35</v>
      </c>
      <c r="C12" s="7" t="s">
        <v>83</v>
      </c>
      <c r="D12" s="7" t="s">
        <v>84</v>
      </c>
      <c r="E12" s="7" t="s">
        <v>85</v>
      </c>
      <c r="F12" s="7" t="s">
        <v>86</v>
      </c>
    </row>
    <row r="13" spans="1:12">
      <c r="A13" s="9" t="s">
        <v>6</v>
      </c>
      <c r="B13" s="9" t="s">
        <v>6</v>
      </c>
      <c r="C13" s="9" t="s">
        <v>41</v>
      </c>
      <c r="D13" s="9" t="s">
        <v>41</v>
      </c>
      <c r="E13" s="9" t="s">
        <v>6</v>
      </c>
      <c r="F13" s="9" t="s">
        <v>6</v>
      </c>
    </row>
    <row r="14" spans="1:12">
      <c r="A14" s="8"/>
      <c r="B14" s="8"/>
      <c r="C14" s="8"/>
      <c r="D14" s="8"/>
      <c r="E14" s="8"/>
      <c r="F14" s="8"/>
    </row>
    <row r="15" spans="1:12">
      <c r="K15" s="73"/>
      <c r="L15" s="73"/>
    </row>
    <row r="16" spans="1:12">
      <c r="A16" s="22" t="s">
        <v>146</v>
      </c>
      <c r="B16" s="120" t="s">
        <v>147</v>
      </c>
      <c r="C16" s="139">
        <v>52</v>
      </c>
      <c r="D16" s="78">
        <v>6.7</v>
      </c>
      <c r="E16" s="140">
        <f>C16/D16</f>
        <v>7.7611940298507465</v>
      </c>
      <c r="F16" s="136">
        <f>1/E16</f>
        <v>0.12884615384615383</v>
      </c>
      <c r="K16" s="73"/>
      <c r="L16" s="73"/>
    </row>
    <row r="17" spans="1:12">
      <c r="A17" s="22" t="s">
        <v>148</v>
      </c>
      <c r="B17" s="120" t="s">
        <v>149</v>
      </c>
      <c r="C17" s="147">
        <v>189.24</v>
      </c>
      <c r="D17" s="78">
        <v>1.65</v>
      </c>
      <c r="E17" s="140">
        <f t="shared" ref="E17:E24" si="0">C17/D17</f>
        <v>114.6909090909091</v>
      </c>
      <c r="F17" s="136">
        <f t="shared" ref="F17:F24" si="1">1/E17</f>
        <v>8.7190868738110331E-3</v>
      </c>
      <c r="K17" s="73"/>
      <c r="L17" s="73"/>
    </row>
    <row r="18" spans="1:12">
      <c r="A18" s="22" t="s">
        <v>119</v>
      </c>
      <c r="B18" s="120" t="s">
        <v>118</v>
      </c>
      <c r="C18" s="147">
        <v>15.77</v>
      </c>
      <c r="D18" s="78">
        <v>12.02</v>
      </c>
      <c r="E18" s="140">
        <f>C18/D18</f>
        <v>1.3119800332778702</v>
      </c>
      <c r="F18" s="136">
        <f>1/E18</f>
        <v>0.76220672162333547</v>
      </c>
      <c r="K18" s="73"/>
      <c r="L18" s="73"/>
    </row>
    <row r="19" spans="1:12">
      <c r="A19" s="22" t="s">
        <v>108</v>
      </c>
      <c r="B19" s="120" t="s">
        <v>109</v>
      </c>
      <c r="C19" s="147">
        <v>40.21</v>
      </c>
      <c r="D19" s="78">
        <v>6.7</v>
      </c>
      <c r="E19" s="140">
        <f t="shared" ref="E19" si="2">C19/D19</f>
        <v>6.0014925373134327</v>
      </c>
      <c r="F19" s="136">
        <f t="shared" ref="F19" si="3">1/E19</f>
        <v>0.1666252176075603</v>
      </c>
      <c r="K19" s="73"/>
      <c r="L19" s="73"/>
    </row>
    <row r="20" spans="1:12">
      <c r="A20" s="22" t="s">
        <v>150</v>
      </c>
      <c r="B20" s="120" t="s">
        <v>151</v>
      </c>
      <c r="C20" s="147">
        <v>14.54</v>
      </c>
      <c r="D20" s="78">
        <v>3.35</v>
      </c>
      <c r="E20" s="140">
        <f t="shared" si="0"/>
        <v>4.3402985074626859</v>
      </c>
      <c r="F20" s="136">
        <f t="shared" si="1"/>
        <v>0.2303988995873453</v>
      </c>
      <c r="K20" s="73"/>
      <c r="L20" s="73"/>
    </row>
    <row r="21" spans="1:12">
      <c r="A21" s="151" t="s">
        <v>113</v>
      </c>
      <c r="B21" s="147" t="s">
        <v>114</v>
      </c>
      <c r="C21" s="147">
        <v>40.31</v>
      </c>
      <c r="D21" s="78">
        <v>9.35</v>
      </c>
      <c r="E21" s="78">
        <f t="shared" si="0"/>
        <v>4.3112299465240644</v>
      </c>
      <c r="F21" s="79">
        <f t="shared" si="1"/>
        <v>0.23195236913917142</v>
      </c>
      <c r="K21" s="73"/>
      <c r="L21" s="73"/>
    </row>
    <row r="22" spans="1:12">
      <c r="A22" s="22" t="s">
        <v>122</v>
      </c>
      <c r="B22" s="120" t="s">
        <v>123</v>
      </c>
      <c r="C22" s="139">
        <v>46.61</v>
      </c>
      <c r="D22" s="78">
        <v>3.82</v>
      </c>
      <c r="E22" s="140">
        <f t="shared" si="0"/>
        <v>12.201570680628272</v>
      </c>
      <c r="F22" s="136">
        <f t="shared" si="1"/>
        <v>8.1956661660587862E-2</v>
      </c>
      <c r="K22" s="73"/>
      <c r="L22" s="73"/>
    </row>
    <row r="23" spans="1:12">
      <c r="A23" s="22" t="s">
        <v>152</v>
      </c>
      <c r="B23" s="120" t="s">
        <v>153</v>
      </c>
      <c r="C23" s="147">
        <v>24.45</v>
      </c>
      <c r="D23" s="78">
        <v>4.25</v>
      </c>
      <c r="E23" s="140">
        <f t="shared" si="0"/>
        <v>5.7529411764705882</v>
      </c>
      <c r="F23" s="136">
        <f t="shared" si="1"/>
        <v>0.17382413087934562</v>
      </c>
      <c r="K23" s="73"/>
      <c r="L23" s="73"/>
    </row>
    <row r="24" spans="1:12">
      <c r="A24" s="22" t="s">
        <v>96</v>
      </c>
      <c r="B24" s="120" t="s">
        <v>97</v>
      </c>
      <c r="C24" s="139">
        <v>43.25</v>
      </c>
      <c r="D24" s="78">
        <v>18.63</v>
      </c>
      <c r="E24" s="140">
        <f t="shared" si="0"/>
        <v>2.3215244229736984</v>
      </c>
      <c r="F24" s="136">
        <f t="shared" si="1"/>
        <v>0.43075144508670521</v>
      </c>
    </row>
    <row r="25" spans="1:12" ht="15.75" thickBot="1">
      <c r="A25" s="83" t="s">
        <v>6</v>
      </c>
      <c r="B25" s="137" t="s">
        <v>6</v>
      </c>
      <c r="C25" s="141" t="s">
        <v>6</v>
      </c>
      <c r="D25" s="142" t="s">
        <v>6</v>
      </c>
      <c r="E25" s="102" t="s">
        <v>6</v>
      </c>
      <c r="F25" s="143" t="s">
        <v>6</v>
      </c>
    </row>
    <row r="26" spans="1:12" ht="15.75" thickTop="1">
      <c r="B26" s="3" t="s">
        <v>55</v>
      </c>
      <c r="C26" s="80" t="s">
        <v>161</v>
      </c>
      <c r="D26" s="80" t="s">
        <v>162</v>
      </c>
      <c r="E26" s="80" t="s">
        <v>163</v>
      </c>
      <c r="F26" s="80" t="s">
        <v>164</v>
      </c>
    </row>
    <row r="27" spans="1:12">
      <c r="B27" s="3" t="s">
        <v>57</v>
      </c>
      <c r="C27" s="140">
        <f>MEDIAN(C16:C24)</f>
        <v>40.31</v>
      </c>
      <c r="D27" s="140">
        <f>MEDIAN(D16:D24)</f>
        <v>6.7</v>
      </c>
      <c r="E27" s="140">
        <f>MEDIAN(E16:E24)</f>
        <v>5.7529411764705882</v>
      </c>
      <c r="F27" s="136">
        <f>MEDIAN(F16:F24)</f>
        <v>0.17382413087934562</v>
      </c>
    </row>
    <row r="28" spans="1:12">
      <c r="B28" s="3" t="s">
        <v>25</v>
      </c>
      <c r="C28" s="140">
        <f>AVERAGE(C16:C24)</f>
        <v>51.82</v>
      </c>
      <c r="D28" s="140">
        <f>AVERAGE(D16:D24)</f>
        <v>7.3855555555555554</v>
      </c>
      <c r="E28" s="140">
        <f>AVERAGE(E16:E24)</f>
        <v>17.632571158378941</v>
      </c>
      <c r="F28" s="136">
        <f>AVERAGE(F16:F24)</f>
        <v>0.24614229847822403</v>
      </c>
    </row>
    <row r="29" spans="1:12">
      <c r="B29" s="3"/>
      <c r="C29" s="99"/>
      <c r="D29" s="99"/>
      <c r="E29" s="99"/>
      <c r="F29" s="91"/>
    </row>
    <row r="30" spans="1:12" ht="21">
      <c r="B30" s="3"/>
      <c r="C30" s="99"/>
      <c r="D30" s="99"/>
      <c r="E30" s="105" t="s">
        <v>20</v>
      </c>
      <c r="F30" s="150">
        <v>0.17380000000000001</v>
      </c>
    </row>
    <row r="31" spans="1:12">
      <c r="B31" s="3"/>
      <c r="C31" s="106"/>
      <c r="D31" s="106"/>
      <c r="E31" s="106"/>
      <c r="F31" s="107"/>
    </row>
    <row r="38" spans="5:5">
      <c r="E38" t="s">
        <v>6</v>
      </c>
    </row>
    <row r="40" spans="5:5">
      <c r="E40" t="s">
        <v>6</v>
      </c>
    </row>
  </sheetData>
  <pageMargins left="0.25" right="0.25" top="0.75" bottom="0.75" header="0.3" footer="0.3"/>
  <pageSetup scale="78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24"/>
  <sheetViews>
    <sheetView zoomScaleNormal="100" workbookViewId="0">
      <selection activeCell="F25" sqref="F25"/>
    </sheetView>
  </sheetViews>
  <sheetFormatPr defaultRowHeight="15"/>
  <cols>
    <col min="1" max="1" width="24.85546875" customWidth="1"/>
    <col min="2" max="2" width="13.28515625" bestFit="1" customWidth="1"/>
    <col min="3" max="3" width="28.5703125" customWidth="1"/>
    <col min="4" max="4" width="12" bestFit="1" customWidth="1"/>
    <col min="5" max="5" width="20.85546875" bestFit="1" customWidth="1"/>
    <col min="6" max="6" width="13" bestFit="1" customWidth="1"/>
  </cols>
  <sheetData>
    <row r="1" spans="1:7" ht="21">
      <c r="C1" s="1" t="s">
        <v>0</v>
      </c>
    </row>
    <row r="2" spans="1:7" ht="15.75">
      <c r="C2" s="2" t="s">
        <v>1</v>
      </c>
    </row>
    <row r="4" spans="1:7">
      <c r="C4" s="3" t="s">
        <v>2</v>
      </c>
    </row>
    <row r="5" spans="1:7">
      <c r="C5" s="3" t="s">
        <v>3</v>
      </c>
    </row>
    <row r="8" spans="1:7">
      <c r="D8" s="4"/>
    </row>
    <row r="10" spans="1:7" ht="15.75" thickBot="1">
      <c r="B10" s="5"/>
      <c r="C10" s="5"/>
      <c r="D10" s="5"/>
    </row>
    <row r="11" spans="1:7" ht="21">
      <c r="C11" s="6" t="s">
        <v>93</v>
      </c>
    </row>
    <row r="12" spans="1:7" ht="15.75" thickBot="1">
      <c r="B12" s="5"/>
      <c r="C12" s="7" t="s">
        <v>5</v>
      </c>
      <c r="D12" s="5"/>
    </row>
    <row r="13" spans="1:7" ht="15.75" thickBot="1">
      <c r="A13" s="5"/>
      <c r="B13" s="5"/>
      <c r="C13" s="7" t="s">
        <v>6</v>
      </c>
      <c r="D13" s="5"/>
      <c r="E13" s="5"/>
      <c r="F13" s="5"/>
      <c r="G13" s="5"/>
    </row>
    <row r="14" spans="1:7">
      <c r="A14" s="8" t="s">
        <v>7</v>
      </c>
      <c r="B14" s="8" t="s">
        <v>8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6</v>
      </c>
    </row>
    <row r="15" spans="1:7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  <c r="G15" s="7" t="s">
        <v>6</v>
      </c>
    </row>
    <row r="16" spans="1:7">
      <c r="A16" s="9" t="s">
        <v>6</v>
      </c>
      <c r="B16" s="9" t="s">
        <v>6</v>
      </c>
      <c r="C16" s="9" t="s">
        <v>6</v>
      </c>
      <c r="D16" s="9" t="s">
        <v>6</v>
      </c>
      <c r="E16" s="9" t="s">
        <v>6</v>
      </c>
      <c r="F16" s="9" t="s">
        <v>6</v>
      </c>
      <c r="G16" s="9" t="s">
        <v>6</v>
      </c>
    </row>
    <row r="17" spans="1:7">
      <c r="A17" s="8"/>
      <c r="B17" s="8"/>
      <c r="C17" s="8"/>
      <c r="D17" s="8"/>
      <c r="E17" s="8"/>
      <c r="F17" s="8"/>
      <c r="G17" s="8"/>
    </row>
    <row r="18" spans="1:7" ht="15.75">
      <c r="A18" s="2" t="s">
        <v>17</v>
      </c>
      <c r="B18" s="10">
        <v>0.28999999999999998</v>
      </c>
      <c r="C18" s="11">
        <v>0.43080000000000002</v>
      </c>
      <c r="D18" s="2" t="s">
        <v>6</v>
      </c>
      <c r="E18" s="11">
        <f>+C18</f>
        <v>0.43080000000000002</v>
      </c>
      <c r="F18" s="12">
        <f>+E18*B18</f>
        <v>0.124932</v>
      </c>
      <c r="G18" s="13" t="s">
        <v>6</v>
      </c>
    </row>
    <row r="19" spans="1:7" ht="15.75">
      <c r="A19" s="2" t="s">
        <v>6</v>
      </c>
      <c r="B19" s="14" t="s">
        <v>6</v>
      </c>
      <c r="C19" s="2" t="s">
        <v>6</v>
      </c>
      <c r="D19" s="2" t="s">
        <v>6</v>
      </c>
      <c r="E19" s="15" t="s">
        <v>6</v>
      </c>
      <c r="F19" s="12" t="s">
        <v>6</v>
      </c>
      <c r="G19" s="13" t="s">
        <v>6</v>
      </c>
    </row>
    <row r="20" spans="1:7" ht="15.75">
      <c r="A20" s="2" t="s">
        <v>18</v>
      </c>
      <c r="B20" s="10">
        <v>0.71</v>
      </c>
      <c r="C20" s="10">
        <v>6.13E-2</v>
      </c>
      <c r="D20" s="116">
        <v>0.26</v>
      </c>
      <c r="E20" s="11">
        <f>+C20*(1-D20)</f>
        <v>4.5362E-2</v>
      </c>
      <c r="F20" s="12">
        <f>+B20*E20</f>
        <v>3.2207019999999996E-2</v>
      </c>
      <c r="G20" s="13" t="s">
        <v>6</v>
      </c>
    </row>
    <row r="21" spans="1:7" ht="16.5" thickBot="1">
      <c r="A21" s="17" t="s">
        <v>6</v>
      </c>
      <c r="B21" s="17" t="s">
        <v>6</v>
      </c>
      <c r="C21" s="17" t="s">
        <v>6</v>
      </c>
      <c r="D21" s="17" t="s">
        <v>6</v>
      </c>
      <c r="E21" s="18" t="s">
        <v>6</v>
      </c>
      <c r="F21" s="19" t="s">
        <v>6</v>
      </c>
      <c r="G21" s="20" t="s">
        <v>6</v>
      </c>
    </row>
    <row r="22" spans="1:7" ht="15.75">
      <c r="A22" s="2" t="s">
        <v>19</v>
      </c>
      <c r="B22" s="21">
        <f>+B18+B20</f>
        <v>1</v>
      </c>
      <c r="C22" s="2" t="s">
        <v>6</v>
      </c>
      <c r="D22" s="2" t="s">
        <v>6</v>
      </c>
      <c r="E22" s="15" t="s">
        <v>6</v>
      </c>
      <c r="F22" s="12">
        <f>+F18+F20</f>
        <v>0.15713901999999999</v>
      </c>
      <c r="G22" s="13" t="s">
        <v>6</v>
      </c>
    </row>
    <row r="23" spans="1:7">
      <c r="A23" s="22"/>
      <c r="B23" s="22"/>
      <c r="C23" s="22"/>
      <c r="D23" s="22"/>
      <c r="E23" s="22"/>
      <c r="F23" s="22"/>
      <c r="G23" s="22"/>
    </row>
    <row r="24" spans="1:7" ht="15.75">
      <c r="E24" s="15" t="s">
        <v>20</v>
      </c>
      <c r="F24" s="12">
        <v>0.15709999999999999</v>
      </c>
    </row>
  </sheetData>
  <pageMargins left="0.25" right="0.25" top="0.75" bottom="0.75" header="0.3" footer="0.3"/>
  <pageSetup scale="8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L40"/>
  <sheetViews>
    <sheetView topLeftCell="A4" zoomScale="70" zoomScaleNormal="70" zoomScalePageLayoutView="70" workbookViewId="0">
      <selection activeCell="F15" sqref="F15"/>
    </sheetView>
  </sheetViews>
  <sheetFormatPr defaultRowHeight="15"/>
  <cols>
    <col min="1" max="1" width="55.7109375" customWidth="1"/>
    <col min="2" max="2" width="10.85546875" bestFit="1" customWidth="1"/>
    <col min="3" max="3" width="19" customWidth="1"/>
    <col min="4" max="4" width="25.5703125" bestFit="1" customWidth="1"/>
    <col min="5" max="5" width="28.140625" customWidth="1"/>
    <col min="6" max="6" width="25.140625" customWidth="1"/>
    <col min="7" max="7" width="26.42578125" customWidth="1"/>
    <col min="8" max="8" width="25" customWidth="1"/>
    <col min="9" max="9" width="28" customWidth="1"/>
    <col min="10" max="10" width="26.28515625" customWidth="1"/>
    <col min="11" max="11" width="23.42578125" customWidth="1"/>
    <col min="12" max="12" width="28" customWidth="1"/>
    <col min="13" max="13" width="30.140625" bestFit="1" customWidth="1"/>
    <col min="14" max="14" width="9.14062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E4" s="4" t="s">
        <v>6</v>
      </c>
      <c r="K4" t="s">
        <v>6</v>
      </c>
    </row>
    <row r="6" spans="1:12">
      <c r="A6" s="25" t="s">
        <v>21</v>
      </c>
      <c r="B6" s="26"/>
      <c r="C6" s="26"/>
      <c r="D6" s="26"/>
      <c r="E6" s="26"/>
      <c r="F6" s="26"/>
      <c r="G6" s="27"/>
      <c r="H6" s="28"/>
      <c r="I6" s="28"/>
      <c r="J6" s="29"/>
      <c r="K6" s="29"/>
      <c r="L6" s="29"/>
    </row>
    <row r="7" spans="1:1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.7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20.25">
      <c r="A9" s="31" t="s">
        <v>94</v>
      </c>
      <c r="B9" s="28"/>
      <c r="C9" s="28"/>
      <c r="D9" s="28"/>
      <c r="E9" s="28"/>
      <c r="F9" s="28"/>
      <c r="G9" s="28"/>
      <c r="H9" s="28"/>
      <c r="I9" s="28"/>
      <c r="J9" s="28"/>
    </row>
    <row r="10" spans="1:12" ht="15.75" thickBot="1">
      <c r="A10" s="32" t="s">
        <v>6</v>
      </c>
      <c r="B10" s="33" t="s">
        <v>6</v>
      </c>
      <c r="C10" s="33" t="s">
        <v>6</v>
      </c>
      <c r="D10" s="33"/>
      <c r="E10" s="33"/>
      <c r="F10" s="33"/>
      <c r="G10" s="33" t="s">
        <v>6</v>
      </c>
      <c r="H10" s="34"/>
      <c r="I10" s="34"/>
      <c r="J10" s="34"/>
    </row>
    <row r="11" spans="1:12" ht="15.75">
      <c r="A11" s="117"/>
      <c r="B11" s="117"/>
      <c r="C11" s="117"/>
      <c r="F11" s="117"/>
      <c r="G11" s="117"/>
      <c r="H11" s="36" t="s">
        <v>23</v>
      </c>
      <c r="I11" s="36" t="s">
        <v>6</v>
      </c>
      <c r="J11" s="118"/>
    </row>
    <row r="12" spans="1:12" ht="15.75">
      <c r="A12" s="35"/>
      <c r="B12" s="35"/>
      <c r="C12" s="35"/>
      <c r="D12" s="440" t="s">
        <v>30</v>
      </c>
      <c r="E12" s="441"/>
      <c r="F12" s="40" t="s">
        <v>30</v>
      </c>
      <c r="G12" s="35"/>
      <c r="H12" s="35" t="s">
        <v>26</v>
      </c>
      <c r="I12" s="36" t="s">
        <v>23</v>
      </c>
      <c r="J12" s="36" t="s">
        <v>23</v>
      </c>
    </row>
    <row r="13" spans="1:12" ht="15.75">
      <c r="A13" s="35" t="s">
        <v>6</v>
      </c>
      <c r="B13" s="35" t="s">
        <v>27</v>
      </c>
      <c r="C13" s="35" t="s">
        <v>28</v>
      </c>
      <c r="D13" s="440" t="s">
        <v>29</v>
      </c>
      <c r="E13" s="441"/>
      <c r="F13" s="40" t="s">
        <v>25</v>
      </c>
      <c r="G13" s="36" t="s">
        <v>23</v>
      </c>
      <c r="H13" s="35" t="s">
        <v>31</v>
      </c>
      <c r="I13" s="37" t="s">
        <v>32</v>
      </c>
      <c r="J13" s="37" t="s">
        <v>33</v>
      </c>
    </row>
    <row r="14" spans="1:12" ht="16.5" thickBot="1">
      <c r="A14" s="38" t="s">
        <v>34</v>
      </c>
      <c r="B14" s="38" t="s">
        <v>35</v>
      </c>
      <c r="C14" s="38" t="s">
        <v>36</v>
      </c>
      <c r="D14" s="38" t="s">
        <v>37</v>
      </c>
      <c r="E14" s="38" t="s">
        <v>38</v>
      </c>
      <c r="F14" s="38" t="s">
        <v>29</v>
      </c>
      <c r="G14" s="38" t="s">
        <v>29</v>
      </c>
      <c r="H14" s="41" t="s">
        <v>39</v>
      </c>
      <c r="I14" s="38" t="s">
        <v>40</v>
      </c>
      <c r="J14" s="38" t="s">
        <v>40</v>
      </c>
    </row>
    <row r="15" spans="1:12" ht="15.75">
      <c r="A15" s="42" t="s">
        <v>41</v>
      </c>
      <c r="B15" s="42" t="s">
        <v>41</v>
      </c>
      <c r="C15" s="42" t="s">
        <v>41</v>
      </c>
      <c r="D15" s="42" t="s">
        <v>95</v>
      </c>
      <c r="E15" s="42" t="s">
        <v>95</v>
      </c>
      <c r="F15" s="42"/>
      <c r="G15" s="42" t="s">
        <v>41</v>
      </c>
      <c r="H15" s="42" t="s">
        <v>42</v>
      </c>
      <c r="I15" s="42" t="s">
        <v>42</v>
      </c>
      <c r="J15" s="42" t="s">
        <v>42</v>
      </c>
    </row>
    <row r="16" spans="1:12" ht="15.75">
      <c r="A16" s="35"/>
      <c r="B16" s="35"/>
      <c r="C16" s="35"/>
      <c r="D16" s="35"/>
      <c r="E16" s="35"/>
      <c r="F16" s="35"/>
      <c r="G16" s="35"/>
      <c r="H16" s="35"/>
      <c r="I16" s="44"/>
      <c r="J16" s="44"/>
    </row>
    <row r="17" spans="1:12" ht="15.75">
      <c r="A17" s="119" t="s">
        <v>96</v>
      </c>
      <c r="B17" s="120" t="s">
        <v>97</v>
      </c>
      <c r="C17" s="121" t="s">
        <v>98</v>
      </c>
      <c r="D17" s="45">
        <v>44.56</v>
      </c>
      <c r="E17" s="45">
        <v>43.11</v>
      </c>
      <c r="F17" s="46">
        <f t="shared" ref="F17" si="0">AVERAGE(D17,E17)</f>
        <v>43.835000000000001</v>
      </c>
      <c r="G17" s="46">
        <v>43.25</v>
      </c>
      <c r="H17" s="122">
        <v>311845232</v>
      </c>
      <c r="I17" s="47">
        <v>0</v>
      </c>
      <c r="J17" s="47">
        <f>24836000000+1911000000</f>
        <v>26747000000</v>
      </c>
    </row>
    <row r="18" spans="1:12" ht="16.5" thickBot="1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2" ht="15.75">
      <c r="A19" s="49"/>
      <c r="B19" s="49"/>
      <c r="C19" s="49"/>
      <c r="D19" s="49"/>
      <c r="E19" s="49"/>
      <c r="F19" s="49"/>
      <c r="G19" s="49"/>
      <c r="H19" s="49"/>
      <c r="I19" s="49"/>
      <c r="J19" s="49"/>
    </row>
    <row r="20" spans="1:12" ht="15.75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2" ht="15.75">
      <c r="A21" s="49"/>
      <c r="B21" s="49"/>
      <c r="C21" s="49"/>
      <c r="D21" s="49"/>
      <c r="E21" s="36" t="s">
        <v>6</v>
      </c>
      <c r="F21" s="49"/>
      <c r="G21" s="49"/>
      <c r="H21" s="49"/>
      <c r="I21" s="49"/>
      <c r="J21" s="49"/>
      <c r="K21" s="49"/>
      <c r="L21" s="49"/>
    </row>
    <row r="22" spans="1:12" ht="15.75">
      <c r="A22" s="35"/>
      <c r="B22" s="35"/>
      <c r="C22" s="35"/>
      <c r="D22" s="36" t="s">
        <v>23</v>
      </c>
      <c r="E22" s="36" t="s">
        <v>23</v>
      </c>
      <c r="F22" s="36" t="s">
        <v>23</v>
      </c>
      <c r="G22" s="36" t="s">
        <v>23</v>
      </c>
      <c r="H22" s="36" t="s">
        <v>23</v>
      </c>
      <c r="I22" s="36" t="s">
        <v>23</v>
      </c>
      <c r="J22" s="36" t="s">
        <v>23</v>
      </c>
    </row>
    <row r="23" spans="1:12" ht="15.75">
      <c r="A23" s="35" t="s">
        <v>6</v>
      </c>
      <c r="B23" s="35" t="s">
        <v>27</v>
      </c>
      <c r="C23" s="35" t="s">
        <v>28</v>
      </c>
      <c r="D23" s="35" t="s">
        <v>26</v>
      </c>
      <c r="E23" s="37" t="s">
        <v>32</v>
      </c>
      <c r="F23" s="35" t="s">
        <v>46</v>
      </c>
      <c r="G23" s="37" t="s">
        <v>47</v>
      </c>
      <c r="H23" s="37" t="s">
        <v>48</v>
      </c>
      <c r="I23" s="37" t="s">
        <v>49</v>
      </c>
      <c r="J23" s="37" t="s">
        <v>99</v>
      </c>
    </row>
    <row r="24" spans="1:12" ht="16.5" thickBot="1">
      <c r="A24" s="38" t="s">
        <v>34</v>
      </c>
      <c r="B24" s="38" t="s">
        <v>35</v>
      </c>
      <c r="C24" s="38" t="s">
        <v>36</v>
      </c>
      <c r="D24" s="38" t="s">
        <v>51</v>
      </c>
      <c r="E24" s="38" t="s">
        <v>51</v>
      </c>
      <c r="F24" s="38" t="s">
        <v>51</v>
      </c>
      <c r="G24" s="38" t="s">
        <v>51</v>
      </c>
      <c r="H24" s="38" t="s">
        <v>52</v>
      </c>
      <c r="I24" s="38" t="s">
        <v>6</v>
      </c>
      <c r="J24" s="38" t="s">
        <v>6</v>
      </c>
    </row>
    <row r="25" spans="1:12" ht="15.75">
      <c r="A25" s="42" t="s">
        <v>41</v>
      </c>
      <c r="B25" s="42" t="s">
        <v>41</v>
      </c>
      <c r="C25" s="42" t="s">
        <v>41</v>
      </c>
      <c r="D25" s="42" t="s">
        <v>53</v>
      </c>
      <c r="E25" s="42" t="s">
        <v>42</v>
      </c>
      <c r="F25" s="42" t="s">
        <v>53</v>
      </c>
      <c r="G25" s="42" t="s">
        <v>42</v>
      </c>
      <c r="H25" s="42" t="s">
        <v>53</v>
      </c>
      <c r="I25" s="42" t="s">
        <v>53</v>
      </c>
      <c r="J25" s="42" t="s">
        <v>53</v>
      </c>
    </row>
    <row r="26" spans="1:12" ht="16.5" thickBot="1">
      <c r="A26" s="123" t="str">
        <f>+A17</f>
        <v>United Airlines Holdings Inc</v>
      </c>
      <c r="B26" s="124" t="str">
        <f>+B17</f>
        <v>UAL</v>
      </c>
      <c r="C26" s="125" t="str">
        <f>+C17</f>
        <v>Airtrans</v>
      </c>
      <c r="D26" s="126">
        <f>+G17*(H17)</f>
        <v>13487306284</v>
      </c>
      <c r="E26" s="127">
        <f>(1/1)*I17</f>
        <v>0</v>
      </c>
      <c r="F26" s="128">
        <f>G40</f>
        <v>5598000000</v>
      </c>
      <c r="G26" s="129">
        <f>(27441/26747)*J17</f>
        <v>27441000000</v>
      </c>
      <c r="H26" s="129">
        <f t="shared" ref="H26" si="1">+D26+E26+F26+G26</f>
        <v>46526306284</v>
      </c>
      <c r="I26" s="130">
        <f t="shared" ref="I26" si="2">+D26/H26</f>
        <v>0.28988560152771398</v>
      </c>
      <c r="J26" s="130">
        <f t="shared" ref="J26" si="3">(+F26+G26)/H26</f>
        <v>0.71011439847228597</v>
      </c>
    </row>
    <row r="27" spans="1:12">
      <c r="G27" s="3" t="s">
        <v>6</v>
      </c>
    </row>
    <row r="28" spans="1:12" ht="15.75">
      <c r="H28" s="58"/>
      <c r="I28" s="58"/>
      <c r="J28" s="58"/>
    </row>
    <row r="29" spans="1:12" ht="15.75">
      <c r="A29" s="22" t="s">
        <v>54</v>
      </c>
      <c r="H29" s="58" t="s">
        <v>57</v>
      </c>
      <c r="I29" s="54">
        <f>MEDIAN(I26:I26)</f>
        <v>0.28988560152771398</v>
      </c>
      <c r="J29" s="54">
        <f>MEDIAN(J26:J26)</f>
        <v>0.71011439847228597</v>
      </c>
    </row>
    <row r="30" spans="1:12" ht="15.75">
      <c r="A30" s="22" t="s">
        <v>56</v>
      </c>
      <c r="F30" s="131" t="s">
        <v>6</v>
      </c>
      <c r="G30" t="s">
        <v>6</v>
      </c>
      <c r="H30" s="58" t="s">
        <v>25</v>
      </c>
      <c r="I30" s="12">
        <f>AVERAGE(I26:I26)</f>
        <v>0.28988560152771398</v>
      </c>
      <c r="J30" s="12">
        <f>AVERAGE(J26:J26)</f>
        <v>0.71011439847228597</v>
      </c>
    </row>
    <row r="31" spans="1:12" ht="15.75">
      <c r="A31" s="22" t="s">
        <v>58</v>
      </c>
      <c r="C31" s="132"/>
      <c r="D31" s="133"/>
      <c r="H31" s="24"/>
      <c r="I31" s="24"/>
      <c r="J31" s="24"/>
    </row>
    <row r="32" spans="1:12" ht="21">
      <c r="F32" s="131" t="s">
        <v>6</v>
      </c>
      <c r="H32" s="61" t="s">
        <v>20</v>
      </c>
      <c r="I32" s="62">
        <v>0.28999999999999998</v>
      </c>
      <c r="J32" s="62">
        <v>0.71</v>
      </c>
    </row>
    <row r="33" spans="3:10">
      <c r="C33" s="132"/>
    </row>
    <row r="34" spans="3:10" ht="15.75">
      <c r="C34" s="132" t="s">
        <v>6</v>
      </c>
      <c r="H34" t="s">
        <v>6</v>
      </c>
      <c r="I34" s="24"/>
      <c r="J34" s="24"/>
    </row>
    <row r="35" spans="3:10">
      <c r="C35" s="132"/>
    </row>
    <row r="36" spans="3:10">
      <c r="C36" s="132"/>
    </row>
    <row r="37" spans="3:10">
      <c r="C37" s="132" t="s">
        <v>6</v>
      </c>
      <c r="H37" t="s">
        <v>6</v>
      </c>
    </row>
    <row r="38" spans="3:10">
      <c r="C38" s="132"/>
    </row>
    <row r="39" spans="3:10">
      <c r="C39" s="132"/>
      <c r="D39" s="67" t="s">
        <v>100</v>
      </c>
      <c r="E39" s="134" t="s">
        <v>34</v>
      </c>
      <c r="F39" s="69" t="s">
        <v>61</v>
      </c>
      <c r="G39" s="69" t="s">
        <v>62</v>
      </c>
      <c r="H39" t="s">
        <v>6</v>
      </c>
    </row>
    <row r="40" spans="3:10" ht="15.75">
      <c r="D40" s="108">
        <v>2831000000</v>
      </c>
      <c r="E40" s="109" t="str">
        <f t="shared" ref="E40" si="4">+A26</f>
        <v>United Airlines Holdings Inc</v>
      </c>
      <c r="F40" s="110">
        <v>4537000000</v>
      </c>
      <c r="G40" s="110">
        <f>(612+4986)*1000000</f>
        <v>5598000000</v>
      </c>
    </row>
  </sheetData>
  <mergeCells count="2">
    <mergeCell ref="D12:E12"/>
    <mergeCell ref="D13:E13"/>
  </mergeCells>
  <pageMargins left="0.25" right="0.25" top="0.75" bottom="0.75" header="0.3" footer="0.3"/>
  <pageSetup scale="3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4"/>
  <sheetViews>
    <sheetView zoomScaleNormal="100" workbookViewId="0">
      <selection activeCell="F24" sqref="F24"/>
    </sheetView>
  </sheetViews>
  <sheetFormatPr defaultRowHeight="15"/>
  <cols>
    <col min="1" max="1" width="24.85546875" customWidth="1"/>
    <col min="2" max="2" width="13.28515625" bestFit="1" customWidth="1"/>
    <col min="3" max="3" width="28.5703125" customWidth="1"/>
    <col min="4" max="4" width="12" bestFit="1" customWidth="1"/>
    <col min="5" max="5" width="20.85546875" bestFit="1" customWidth="1"/>
    <col min="6" max="6" width="13" bestFit="1" customWidth="1"/>
  </cols>
  <sheetData>
    <row r="1" spans="1:7" ht="21">
      <c r="C1" s="1" t="s">
        <v>0</v>
      </c>
    </row>
    <row r="2" spans="1:7" ht="15.75">
      <c r="C2" s="2" t="s">
        <v>1</v>
      </c>
    </row>
    <row r="4" spans="1:7">
      <c r="C4" s="3" t="s">
        <v>2</v>
      </c>
    </row>
    <row r="5" spans="1:7">
      <c r="C5" s="3" t="s">
        <v>3</v>
      </c>
    </row>
    <row r="8" spans="1:7">
      <c r="D8" s="4"/>
    </row>
    <row r="10" spans="1:7" ht="15.75" thickBot="1">
      <c r="B10" s="5"/>
      <c r="C10" s="5"/>
      <c r="D10" s="5"/>
    </row>
    <row r="11" spans="1:7" ht="21">
      <c r="C11" s="6" t="s">
        <v>124</v>
      </c>
    </row>
    <row r="12" spans="1:7" ht="15.75" thickBot="1">
      <c r="B12" s="5"/>
      <c r="C12" s="7" t="s">
        <v>5</v>
      </c>
      <c r="D12" s="5"/>
    </row>
    <row r="13" spans="1:7" ht="15.75" thickBot="1">
      <c r="A13" s="5"/>
      <c r="B13" s="5"/>
      <c r="C13" s="7" t="s">
        <v>6</v>
      </c>
      <c r="D13" s="5"/>
      <c r="E13" s="5"/>
      <c r="F13" s="5"/>
      <c r="G13" s="5"/>
    </row>
    <row r="14" spans="1:7">
      <c r="A14" s="8" t="s">
        <v>7</v>
      </c>
      <c r="B14" s="8" t="s">
        <v>8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6</v>
      </c>
    </row>
    <row r="15" spans="1:7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  <c r="G15" s="7" t="s">
        <v>6</v>
      </c>
    </row>
    <row r="16" spans="1:7">
      <c r="A16" s="9" t="s">
        <v>6</v>
      </c>
      <c r="B16" s="9" t="s">
        <v>6</v>
      </c>
      <c r="C16" s="9" t="s">
        <v>6</v>
      </c>
      <c r="D16" s="9" t="s">
        <v>6</v>
      </c>
      <c r="E16" s="9" t="s">
        <v>6</v>
      </c>
      <c r="F16" s="9" t="s">
        <v>6</v>
      </c>
      <c r="G16" s="9" t="s">
        <v>6</v>
      </c>
    </row>
    <row r="17" spans="1:7">
      <c r="A17" s="8"/>
      <c r="B17" s="8"/>
      <c r="C17" s="8"/>
      <c r="D17" s="8"/>
      <c r="E17" s="8"/>
      <c r="F17" s="8"/>
      <c r="G17" s="8"/>
    </row>
    <row r="18" spans="1:7" ht="15.75">
      <c r="A18" s="2" t="s">
        <v>17</v>
      </c>
      <c r="B18" s="16">
        <v>0.57999999999999996</v>
      </c>
      <c r="C18" s="155">
        <v>0.13969999999999999</v>
      </c>
      <c r="D18" s="121" t="s">
        <v>6</v>
      </c>
      <c r="E18" s="155">
        <f>+C18</f>
        <v>0.13969999999999999</v>
      </c>
      <c r="F18" s="54">
        <f>+E18*B18</f>
        <v>8.1025999999999987E-2</v>
      </c>
      <c r="G18" s="13" t="s">
        <v>6</v>
      </c>
    </row>
    <row r="19" spans="1:7" ht="15.75">
      <c r="A19" s="2" t="s">
        <v>6</v>
      </c>
      <c r="B19" s="14" t="s">
        <v>6</v>
      </c>
      <c r="C19" s="2" t="s">
        <v>6</v>
      </c>
      <c r="D19" s="2" t="s">
        <v>6</v>
      </c>
      <c r="E19" s="15" t="s">
        <v>6</v>
      </c>
      <c r="F19" s="12" t="s">
        <v>6</v>
      </c>
      <c r="G19" s="13" t="s">
        <v>6</v>
      </c>
    </row>
    <row r="20" spans="1:7" ht="15.75">
      <c r="A20" s="2" t="s">
        <v>18</v>
      </c>
      <c r="B20" s="16">
        <v>0.42</v>
      </c>
      <c r="C20" s="16">
        <v>3.2899999999999999E-2</v>
      </c>
      <c r="D20" s="16">
        <v>0.26</v>
      </c>
      <c r="E20" s="155">
        <f>+C20*(1-D20)</f>
        <v>2.4346E-2</v>
      </c>
      <c r="F20" s="54">
        <f>+B20*E20</f>
        <v>1.022532E-2</v>
      </c>
      <c r="G20" s="13" t="s">
        <v>6</v>
      </c>
    </row>
    <row r="21" spans="1:7" ht="16.5" thickBot="1">
      <c r="A21" s="17" t="s">
        <v>6</v>
      </c>
      <c r="B21" s="17" t="s">
        <v>6</v>
      </c>
      <c r="C21" s="17" t="s">
        <v>6</v>
      </c>
      <c r="D21" s="17" t="s">
        <v>6</v>
      </c>
      <c r="E21" s="18" t="s">
        <v>6</v>
      </c>
      <c r="F21" s="19" t="s">
        <v>6</v>
      </c>
      <c r="G21" s="20" t="s">
        <v>6</v>
      </c>
    </row>
    <row r="22" spans="1:7" ht="15.75">
      <c r="A22" s="2" t="s">
        <v>19</v>
      </c>
      <c r="B22" s="156">
        <f>+B18+B20</f>
        <v>1</v>
      </c>
      <c r="C22" s="2" t="s">
        <v>6</v>
      </c>
      <c r="D22" s="2" t="s">
        <v>6</v>
      </c>
      <c r="E22" s="15" t="s">
        <v>6</v>
      </c>
      <c r="F22" s="54">
        <f>+F18+F20</f>
        <v>9.1251319999999983E-2</v>
      </c>
      <c r="G22" s="13" t="s">
        <v>6</v>
      </c>
    </row>
    <row r="23" spans="1:7">
      <c r="A23" s="22"/>
      <c r="B23" s="22"/>
      <c r="C23" s="22"/>
      <c r="D23" s="22"/>
      <c r="E23" s="22"/>
      <c r="F23" s="22"/>
      <c r="G23" s="22"/>
    </row>
    <row r="24" spans="1:7" ht="15.75">
      <c r="E24" s="15" t="s">
        <v>20</v>
      </c>
      <c r="F24" s="54">
        <v>9.1300000000000006E-2</v>
      </c>
    </row>
  </sheetData>
  <pageMargins left="0.25" right="0.25" top="0.75" bottom="0.75" header="0.3" footer="0.3"/>
  <pageSetup scale="8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J17"/>
  <sheetViews>
    <sheetView zoomScaleNormal="100" workbookViewId="0">
      <selection activeCell="H20" sqref="H20"/>
    </sheetView>
  </sheetViews>
  <sheetFormatPr defaultRowHeight="15"/>
  <cols>
    <col min="1" max="1" width="39" customWidth="1"/>
    <col min="2" max="2" width="18.28515625" customWidth="1"/>
    <col min="3" max="3" width="12.28515625" bestFit="1" customWidth="1"/>
    <col min="4" max="4" width="16.28515625" customWidth="1"/>
    <col min="5" max="5" width="16.42578125" customWidth="1"/>
    <col min="6" max="6" width="13.7109375" bestFit="1" customWidth="1"/>
    <col min="7" max="7" width="10.5703125" customWidth="1"/>
    <col min="8" max="8" width="23.140625" customWidth="1"/>
    <col min="9" max="9" width="16.42578125" customWidth="1"/>
    <col min="10" max="10" width="14.5703125" customWidth="1"/>
  </cols>
  <sheetData>
    <row r="1" spans="1:10" ht="21">
      <c r="A1" s="23" t="s">
        <v>0</v>
      </c>
    </row>
    <row r="2" spans="1:10" ht="15.75">
      <c r="A2" s="24" t="s">
        <v>1</v>
      </c>
    </row>
    <row r="3" spans="1:10">
      <c r="A3" s="22" t="s">
        <v>2</v>
      </c>
    </row>
    <row r="4" spans="1:10">
      <c r="F4" s="4" t="s">
        <v>6</v>
      </c>
    </row>
    <row r="5" spans="1:10" ht="15.75">
      <c r="A5" s="76" t="s">
        <v>101</v>
      </c>
    </row>
    <row r="6" spans="1:10" ht="15.75" thickBot="1">
      <c r="A6" s="77" t="s">
        <v>6</v>
      </c>
      <c r="B6" s="77" t="s">
        <v>6</v>
      </c>
      <c r="C6" s="77" t="s">
        <v>6</v>
      </c>
      <c r="D6" s="77"/>
      <c r="E6" s="77"/>
      <c r="F6" s="77" t="s">
        <v>6</v>
      </c>
      <c r="G6" s="77" t="s">
        <v>6</v>
      </c>
      <c r="H6" s="77" t="s">
        <v>6</v>
      </c>
      <c r="I6" s="5"/>
    </row>
    <row r="7" spans="1:10">
      <c r="A7" s="8" t="s">
        <v>6</v>
      </c>
      <c r="B7" s="8" t="s">
        <v>27</v>
      </c>
      <c r="C7" s="8" t="s">
        <v>28</v>
      </c>
      <c r="D7" s="8" t="s">
        <v>63</v>
      </c>
      <c r="E7" s="8" t="s">
        <v>64</v>
      </c>
      <c r="F7" s="8" t="s">
        <v>65</v>
      </c>
      <c r="G7" s="8" t="s">
        <v>66</v>
      </c>
      <c r="H7" s="8" t="s">
        <v>102</v>
      </c>
      <c r="I7" s="8" t="s">
        <v>6</v>
      </c>
    </row>
    <row r="8" spans="1:10" ht="15.75" thickBot="1">
      <c r="A8" s="7" t="s">
        <v>34</v>
      </c>
      <c r="B8" s="7" t="s">
        <v>35</v>
      </c>
      <c r="C8" s="7" t="s">
        <v>36</v>
      </c>
      <c r="D8" s="7"/>
      <c r="E8" s="7" t="s">
        <v>69</v>
      </c>
      <c r="F8" s="7" t="s">
        <v>70</v>
      </c>
      <c r="G8" s="7" t="s">
        <v>71</v>
      </c>
      <c r="H8" s="7" t="s">
        <v>71</v>
      </c>
      <c r="I8" s="7" t="s">
        <v>72</v>
      </c>
    </row>
    <row r="9" spans="1:10">
      <c r="A9" s="9" t="s">
        <v>41</v>
      </c>
      <c r="B9" s="9" t="s">
        <v>41</v>
      </c>
      <c r="C9" s="9" t="s">
        <v>41</v>
      </c>
      <c r="D9" s="9" t="s">
        <v>41</v>
      </c>
      <c r="E9" s="9" t="s">
        <v>41</v>
      </c>
      <c r="F9" s="9" t="s">
        <v>41</v>
      </c>
      <c r="G9" s="9" t="s">
        <v>66</v>
      </c>
      <c r="H9" s="9" t="s">
        <v>68</v>
      </c>
      <c r="I9" s="9" t="s">
        <v>68</v>
      </c>
    </row>
    <row r="10" spans="1:10">
      <c r="A10" s="8"/>
      <c r="B10" s="8"/>
      <c r="C10" s="8"/>
      <c r="D10" s="8"/>
      <c r="E10" s="8"/>
      <c r="F10" s="8"/>
      <c r="G10" s="8"/>
      <c r="H10" s="8"/>
    </row>
    <row r="11" spans="1:10">
      <c r="A11" s="119" t="s">
        <v>96</v>
      </c>
      <c r="B11" s="120" t="s">
        <v>97</v>
      </c>
      <c r="C11" s="3" t="s">
        <v>74</v>
      </c>
      <c r="D11" s="98">
        <v>1.65</v>
      </c>
      <c r="E11" s="81">
        <v>0</v>
      </c>
      <c r="F11" s="135" t="s">
        <v>103</v>
      </c>
      <c r="G11" s="78" t="s">
        <v>110</v>
      </c>
      <c r="H11" s="79" t="s">
        <v>246</v>
      </c>
      <c r="I11" s="136">
        <v>6.13E-2</v>
      </c>
    </row>
    <row r="12" spans="1:10" ht="15.75" thickBot="1">
      <c r="A12" s="83" t="s">
        <v>6</v>
      </c>
      <c r="B12" s="137" t="s">
        <v>6</v>
      </c>
      <c r="C12" s="101" t="s">
        <v>6</v>
      </c>
      <c r="D12" s="101" t="s">
        <v>6</v>
      </c>
      <c r="E12" s="103" t="s">
        <v>6</v>
      </c>
      <c r="F12" s="101" t="s">
        <v>6</v>
      </c>
      <c r="G12" s="101" t="s">
        <v>6</v>
      </c>
      <c r="H12" s="103" t="s">
        <v>6</v>
      </c>
      <c r="I12" s="82"/>
    </row>
    <row r="13" spans="1:10" ht="15.75" thickTop="1">
      <c r="C13" s="87"/>
      <c r="D13" s="87"/>
      <c r="E13" s="87"/>
      <c r="F13" s="135"/>
      <c r="G13" s="98"/>
      <c r="H13" s="3"/>
      <c r="I13" s="87"/>
    </row>
    <row r="14" spans="1:10">
      <c r="C14" s="87" t="s">
        <v>57</v>
      </c>
      <c r="D14" s="88">
        <f>MEDIAN(D11:D11)</f>
        <v>1.65</v>
      </c>
      <c r="E14" s="89">
        <f>MEDIAN(E11:E11)</f>
        <v>0</v>
      </c>
      <c r="F14" s="135" t="s">
        <v>105</v>
      </c>
      <c r="G14" s="98" t="s">
        <v>6</v>
      </c>
      <c r="H14" s="3" t="s">
        <v>106</v>
      </c>
      <c r="I14" s="89">
        <f>MEDIAN(I11:I11)</f>
        <v>6.13E-2</v>
      </c>
    </row>
    <row r="15" spans="1:10">
      <c r="C15" s="87" t="s">
        <v>25</v>
      </c>
      <c r="D15" s="90">
        <f>AVERAGE(D11:D11)</f>
        <v>1.65</v>
      </c>
      <c r="E15" s="91">
        <f>AVERAGE(E11:E11)</f>
        <v>0</v>
      </c>
      <c r="I15" s="91">
        <f>AVERAGE(I11:I11)</f>
        <v>6.13E-2</v>
      </c>
    </row>
    <row r="16" spans="1:10">
      <c r="J16" s="138"/>
    </row>
    <row r="17" spans="8:10" ht="21">
      <c r="H17" s="61" t="s">
        <v>78</v>
      </c>
      <c r="I17" s="93">
        <v>6.13E-2</v>
      </c>
      <c r="J17" s="93" t="s">
        <v>6</v>
      </c>
    </row>
  </sheetData>
  <pageMargins left="0.25" right="0.25" top="0.75" bottom="0.75" header="0.3" footer="0.3"/>
  <pageSetup scale="66" orientation="portrait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L32"/>
  <sheetViews>
    <sheetView zoomScale="90" zoomScaleNormal="90" workbookViewId="0">
      <selection activeCell="B18" sqref="B18"/>
    </sheetView>
  </sheetViews>
  <sheetFormatPr defaultRowHeight="15"/>
  <cols>
    <col min="1" max="1" width="43.7109375" customWidth="1"/>
    <col min="2" max="2" width="10.140625" customWidth="1"/>
    <col min="3" max="3" width="13.5703125" bestFit="1" customWidth="1"/>
    <col min="4" max="4" width="17.5703125" customWidth="1"/>
    <col min="5" max="5" width="15.42578125" customWidth="1"/>
    <col min="6" max="6" width="21.710937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D4" s="4" t="s">
        <v>6</v>
      </c>
    </row>
    <row r="5" spans="1:12" ht="15.75">
      <c r="A5" s="76" t="s">
        <v>101</v>
      </c>
    </row>
    <row r="6" spans="1:12" ht="15.75">
      <c r="A6" s="76"/>
    </row>
    <row r="7" spans="1:12" ht="18.75">
      <c r="A7" s="76"/>
      <c r="D7" s="95" t="s">
        <v>79</v>
      </c>
    </row>
    <row r="8" spans="1:12" ht="18.75">
      <c r="A8" s="76"/>
      <c r="D8" s="95" t="s">
        <v>80</v>
      </c>
    </row>
    <row r="9" spans="1:12" ht="15.75">
      <c r="A9" s="76"/>
    </row>
    <row r="10" spans="1:12" ht="15.75" thickBot="1">
      <c r="A10" s="77" t="s">
        <v>6</v>
      </c>
      <c r="B10" s="77" t="s">
        <v>6</v>
      </c>
      <c r="C10" s="77" t="s">
        <v>6</v>
      </c>
      <c r="D10" s="77" t="s">
        <v>6</v>
      </c>
      <c r="E10" s="77" t="s">
        <v>6</v>
      </c>
      <c r="F10" s="77" t="s">
        <v>6</v>
      </c>
    </row>
    <row r="11" spans="1:12">
      <c r="A11" s="8" t="s">
        <v>6</v>
      </c>
      <c r="B11" s="8" t="s">
        <v>27</v>
      </c>
      <c r="C11" s="8" t="s">
        <v>6</v>
      </c>
      <c r="D11" s="8" t="s">
        <v>81</v>
      </c>
      <c r="E11" s="8" t="s">
        <v>81</v>
      </c>
      <c r="F11" s="8" t="s">
        <v>82</v>
      </c>
    </row>
    <row r="12" spans="1:12" ht="15.75" thickBot="1">
      <c r="A12" s="7" t="s">
        <v>34</v>
      </c>
      <c r="B12" s="7" t="s">
        <v>35</v>
      </c>
      <c r="C12" s="7" t="s">
        <v>83</v>
      </c>
      <c r="D12" s="7" t="s">
        <v>84</v>
      </c>
      <c r="E12" s="7" t="s">
        <v>85</v>
      </c>
      <c r="F12" s="7" t="s">
        <v>86</v>
      </c>
    </row>
    <row r="13" spans="1:12">
      <c r="A13" s="9" t="s">
        <v>6</v>
      </c>
      <c r="B13" s="9" t="s">
        <v>6</v>
      </c>
      <c r="C13" s="9" t="s">
        <v>41</v>
      </c>
      <c r="D13" s="9" t="s">
        <v>41</v>
      </c>
      <c r="E13" s="9" t="s">
        <v>6</v>
      </c>
      <c r="F13" s="9" t="s">
        <v>6</v>
      </c>
    </row>
    <row r="14" spans="1:12">
      <c r="A14" s="8"/>
      <c r="B14" s="8"/>
      <c r="C14" s="8"/>
      <c r="D14" s="8"/>
      <c r="E14" s="8"/>
      <c r="F14" s="8"/>
    </row>
    <row r="15" spans="1:12">
      <c r="K15" s="73"/>
      <c r="L15" s="73"/>
    </row>
    <row r="16" spans="1:12">
      <c r="A16" s="22" t="s">
        <v>96</v>
      </c>
      <c r="B16" s="120" t="s">
        <v>97</v>
      </c>
      <c r="C16" s="139">
        <v>43.25</v>
      </c>
      <c r="D16" s="78">
        <v>18.63</v>
      </c>
      <c r="E16" s="140">
        <f t="shared" ref="E16" si="0">C16/D16</f>
        <v>2.3215244229736984</v>
      </c>
      <c r="F16" s="136">
        <f t="shared" ref="F16" si="1">1/E16</f>
        <v>0.43075144508670521</v>
      </c>
    </row>
    <row r="17" spans="1:6" ht="15.75" thickBot="1">
      <c r="A17" s="83" t="s">
        <v>6</v>
      </c>
      <c r="B17" s="137" t="s">
        <v>6</v>
      </c>
      <c r="C17" s="141" t="s">
        <v>6</v>
      </c>
      <c r="D17" s="142" t="s">
        <v>6</v>
      </c>
      <c r="E17" s="102" t="s">
        <v>6</v>
      </c>
      <c r="F17" s="143" t="s">
        <v>6</v>
      </c>
    </row>
    <row r="18" spans="1:6" ht="15.75" thickTop="1">
      <c r="B18" s="3"/>
      <c r="C18" s="87"/>
      <c r="D18" s="87"/>
      <c r="E18" s="87"/>
      <c r="F18" s="87"/>
    </row>
    <row r="19" spans="1:6">
      <c r="B19" s="3" t="s">
        <v>57</v>
      </c>
      <c r="C19" s="99">
        <f>MEDIAN(C16:C16)</f>
        <v>43.25</v>
      </c>
      <c r="D19" s="99">
        <f>MEDIAN(D16:D16)</f>
        <v>18.63</v>
      </c>
      <c r="E19" s="99">
        <f>MEDIAN(E16:E16)</f>
        <v>2.3215244229736984</v>
      </c>
      <c r="F19" s="100">
        <f>MEDIAN(F16:F16)</f>
        <v>0.43075144508670521</v>
      </c>
    </row>
    <row r="20" spans="1:6">
      <c r="B20" s="3" t="s">
        <v>25</v>
      </c>
      <c r="C20" s="99">
        <f>AVERAGE(C16:C16)</f>
        <v>43.25</v>
      </c>
      <c r="D20" s="99">
        <f>AVERAGE(D16:D16)</f>
        <v>18.63</v>
      </c>
      <c r="E20" s="99">
        <f>AVERAGE(E16:E16)</f>
        <v>2.3215244229736984</v>
      </c>
      <c r="F20" s="100">
        <f>AVERAGE(F16:F16)</f>
        <v>0.43075144508670521</v>
      </c>
    </row>
    <row r="21" spans="1:6">
      <c r="B21" s="3"/>
      <c r="C21" s="99"/>
      <c r="D21" s="99"/>
      <c r="E21" s="99"/>
      <c r="F21" s="91"/>
    </row>
    <row r="22" spans="1:6" ht="21">
      <c r="B22" s="3"/>
      <c r="C22" s="99"/>
      <c r="D22" s="99"/>
      <c r="E22" s="105" t="s">
        <v>20</v>
      </c>
      <c r="F22" s="93">
        <v>0.43080000000000002</v>
      </c>
    </row>
    <row r="23" spans="1:6">
      <c r="B23" s="3"/>
      <c r="C23" s="106"/>
      <c r="D23" s="106"/>
      <c r="E23" s="106"/>
      <c r="F23" s="107"/>
    </row>
    <row r="30" spans="1:6">
      <c r="E30" t="s">
        <v>6</v>
      </c>
    </row>
    <row r="32" spans="1:6">
      <c r="E32" t="s">
        <v>6</v>
      </c>
    </row>
  </sheetData>
  <pageMargins left="0.25" right="0.25" top="0.75" bottom="0.75" header="0.3" footer="0.3"/>
  <pageSetup scale="78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G24"/>
  <sheetViews>
    <sheetView zoomScaleNormal="100" workbookViewId="0">
      <selection activeCell="D9" sqref="D9"/>
    </sheetView>
  </sheetViews>
  <sheetFormatPr defaultRowHeight="15"/>
  <cols>
    <col min="1" max="1" width="24.85546875" customWidth="1"/>
    <col min="2" max="2" width="13.28515625" bestFit="1" customWidth="1"/>
    <col min="3" max="3" width="28.5703125" customWidth="1"/>
    <col min="4" max="4" width="12" bestFit="1" customWidth="1"/>
    <col min="5" max="5" width="20.85546875" bestFit="1" customWidth="1"/>
    <col min="6" max="6" width="13" bestFit="1" customWidth="1"/>
  </cols>
  <sheetData>
    <row r="1" spans="1:7" ht="21">
      <c r="C1" s="1" t="s">
        <v>0</v>
      </c>
    </row>
    <row r="2" spans="1:7" ht="15.75">
      <c r="C2" s="2" t="s">
        <v>1</v>
      </c>
    </row>
    <row r="4" spans="1:7">
      <c r="C4" s="3" t="s">
        <v>2</v>
      </c>
    </row>
    <row r="5" spans="1:7">
      <c r="C5" s="3" t="s">
        <v>3</v>
      </c>
    </row>
    <row r="8" spans="1:7">
      <c r="D8" s="4"/>
    </row>
    <row r="10" spans="1:7" ht="15.75" thickBot="1">
      <c r="B10" s="5"/>
      <c r="C10" s="5"/>
      <c r="D10" s="5"/>
    </row>
    <row r="11" spans="1:7" ht="21">
      <c r="C11" s="6" t="s">
        <v>107</v>
      </c>
    </row>
    <row r="12" spans="1:7" ht="15.75" thickBot="1">
      <c r="B12" s="5"/>
      <c r="C12" s="7" t="s">
        <v>5</v>
      </c>
      <c r="D12" s="5"/>
    </row>
    <row r="13" spans="1:7" ht="15.75" thickBot="1">
      <c r="A13" s="5"/>
      <c r="B13" s="5"/>
      <c r="C13" s="7" t="s">
        <v>6</v>
      </c>
      <c r="D13" s="5"/>
      <c r="E13" s="5"/>
      <c r="F13" s="5"/>
      <c r="G13" s="5"/>
    </row>
    <row r="14" spans="1:7">
      <c r="A14" s="8" t="s">
        <v>7</v>
      </c>
      <c r="B14" s="8" t="s">
        <v>8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6</v>
      </c>
    </row>
    <row r="15" spans="1:7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  <c r="G15" s="7" t="s">
        <v>6</v>
      </c>
    </row>
    <row r="16" spans="1:7">
      <c r="A16" s="9" t="s">
        <v>6</v>
      </c>
      <c r="B16" s="9" t="s">
        <v>6</v>
      </c>
      <c r="C16" s="9" t="s">
        <v>6</v>
      </c>
      <c r="D16" s="9" t="s">
        <v>6</v>
      </c>
      <c r="E16" s="9" t="s">
        <v>6</v>
      </c>
      <c r="F16" s="9" t="s">
        <v>6</v>
      </c>
      <c r="G16" s="9" t="s">
        <v>6</v>
      </c>
    </row>
    <row r="17" spans="1:7">
      <c r="A17" s="8"/>
      <c r="B17" s="8"/>
      <c r="C17" s="8"/>
      <c r="D17" s="8"/>
      <c r="E17" s="8"/>
      <c r="F17" s="8"/>
      <c r="G17" s="8"/>
    </row>
    <row r="18" spans="1:7" ht="15.75">
      <c r="A18" s="2" t="s">
        <v>17</v>
      </c>
      <c r="B18" s="10">
        <v>0.41</v>
      </c>
      <c r="C18" s="11">
        <v>0.1666</v>
      </c>
      <c r="D18" s="2" t="s">
        <v>6</v>
      </c>
      <c r="E18" s="11">
        <f>+C18</f>
        <v>0.1666</v>
      </c>
      <c r="F18" s="12">
        <f>+E18*B18</f>
        <v>6.8305999999999992E-2</v>
      </c>
      <c r="G18" s="13" t="s">
        <v>6</v>
      </c>
    </row>
    <row r="19" spans="1:7" ht="15.75">
      <c r="A19" s="2" t="s">
        <v>6</v>
      </c>
      <c r="B19" s="14" t="s">
        <v>6</v>
      </c>
      <c r="C19" s="2" t="s">
        <v>6</v>
      </c>
      <c r="D19" s="2" t="s">
        <v>6</v>
      </c>
      <c r="E19" s="15" t="s">
        <v>6</v>
      </c>
      <c r="F19" s="12" t="s">
        <v>6</v>
      </c>
      <c r="G19" s="13" t="s">
        <v>6</v>
      </c>
    </row>
    <row r="20" spans="1:7" ht="15.75">
      <c r="A20" s="2" t="s">
        <v>18</v>
      </c>
      <c r="B20" s="10">
        <v>0.59</v>
      </c>
      <c r="C20" s="10">
        <v>3.2899999999999999E-2</v>
      </c>
      <c r="D20" s="116">
        <v>0.26</v>
      </c>
      <c r="E20" s="11">
        <f>+C20*(1-D20)</f>
        <v>2.4346E-2</v>
      </c>
      <c r="F20" s="12">
        <f>+B20*E20</f>
        <v>1.4364139999999999E-2</v>
      </c>
      <c r="G20" s="13" t="s">
        <v>6</v>
      </c>
    </row>
    <row r="21" spans="1:7" ht="16.5" thickBot="1">
      <c r="A21" s="17" t="s">
        <v>6</v>
      </c>
      <c r="B21" s="17" t="s">
        <v>6</v>
      </c>
      <c r="C21" s="17" t="s">
        <v>6</v>
      </c>
      <c r="D21" s="17" t="s">
        <v>6</v>
      </c>
      <c r="E21" s="18" t="s">
        <v>6</v>
      </c>
      <c r="F21" s="19" t="s">
        <v>6</v>
      </c>
      <c r="G21" s="20" t="s">
        <v>6</v>
      </c>
    </row>
    <row r="22" spans="1:7" ht="15.75">
      <c r="A22" s="2" t="s">
        <v>19</v>
      </c>
      <c r="B22" s="21">
        <f>+B18+B20</f>
        <v>1</v>
      </c>
      <c r="C22" s="2" t="s">
        <v>6</v>
      </c>
      <c r="D22" s="2" t="s">
        <v>6</v>
      </c>
      <c r="E22" s="15" t="s">
        <v>6</v>
      </c>
      <c r="F22" s="12">
        <f>+F18+F20</f>
        <v>8.2670139999999989E-2</v>
      </c>
      <c r="G22" s="13" t="s">
        <v>6</v>
      </c>
    </row>
    <row r="23" spans="1:7">
      <c r="A23" s="22"/>
      <c r="B23" s="22"/>
      <c r="C23" s="22"/>
      <c r="D23" s="22"/>
      <c r="E23" s="22"/>
      <c r="F23" s="22"/>
      <c r="G23" s="22"/>
    </row>
    <row r="24" spans="1:7" ht="15.75">
      <c r="E24" s="15" t="s">
        <v>20</v>
      </c>
      <c r="F24" s="12">
        <v>8.2699999999999996E-2</v>
      </c>
    </row>
  </sheetData>
  <pageMargins left="0.25" right="0.25" top="0.75" bottom="0.75" header="0.3" footer="0.3"/>
  <pageSetup scale="8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N41"/>
  <sheetViews>
    <sheetView zoomScale="70" zoomScaleNormal="70" zoomScalePageLayoutView="70" workbookViewId="0">
      <selection activeCell="F15" sqref="F15"/>
    </sheetView>
  </sheetViews>
  <sheetFormatPr defaultRowHeight="15"/>
  <cols>
    <col min="1" max="1" width="55.7109375" customWidth="1"/>
    <col min="2" max="2" width="10.85546875" bestFit="1" customWidth="1"/>
    <col min="3" max="3" width="19" customWidth="1"/>
    <col min="4" max="4" width="25.5703125" bestFit="1" customWidth="1"/>
    <col min="5" max="5" width="28.140625" customWidth="1"/>
    <col min="6" max="6" width="25.140625" customWidth="1"/>
    <col min="7" max="7" width="26.42578125" customWidth="1"/>
    <col min="8" max="8" width="25" customWidth="1"/>
    <col min="9" max="9" width="28" customWidth="1"/>
    <col min="10" max="10" width="26.28515625" customWidth="1"/>
    <col min="11" max="11" width="23.42578125" customWidth="1"/>
    <col min="12" max="12" width="28" customWidth="1"/>
    <col min="13" max="13" width="30.140625" bestFit="1" customWidth="1"/>
    <col min="14" max="14" width="9.14062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E4" s="4" t="s">
        <v>6</v>
      </c>
      <c r="K4" t="s">
        <v>6</v>
      </c>
    </row>
    <row r="6" spans="1:12">
      <c r="A6" s="25" t="s">
        <v>21</v>
      </c>
      <c r="B6" s="26"/>
      <c r="C6" s="26"/>
      <c r="D6" s="26"/>
      <c r="E6" s="26"/>
      <c r="F6" s="26"/>
      <c r="G6" s="27"/>
      <c r="H6" s="28"/>
      <c r="I6" s="28"/>
      <c r="J6" s="29"/>
      <c r="K6" s="29"/>
      <c r="L6" s="29"/>
    </row>
    <row r="7" spans="1:1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.7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20.25">
      <c r="A9" s="31" t="s">
        <v>94</v>
      </c>
      <c r="B9" s="28"/>
      <c r="C9" s="28"/>
      <c r="D9" s="28"/>
      <c r="E9" s="28"/>
      <c r="F9" s="28"/>
      <c r="G9" s="28"/>
      <c r="H9" s="28"/>
      <c r="I9" s="28"/>
      <c r="J9" s="28"/>
    </row>
    <row r="10" spans="1:12" ht="15.75" thickBot="1">
      <c r="A10" s="32" t="s">
        <v>6</v>
      </c>
      <c r="B10" s="33" t="s">
        <v>6</v>
      </c>
      <c r="C10" s="33" t="s">
        <v>6</v>
      </c>
      <c r="D10" s="33"/>
      <c r="E10" s="33"/>
      <c r="F10" s="33"/>
      <c r="G10" s="33" t="s">
        <v>6</v>
      </c>
      <c r="H10" s="34"/>
      <c r="I10" s="34"/>
      <c r="J10" s="34"/>
    </row>
    <row r="11" spans="1:12" ht="15.75">
      <c r="A11" s="117"/>
      <c r="B11" s="117"/>
      <c r="C11" s="117"/>
      <c r="F11" s="117"/>
      <c r="G11" s="117"/>
      <c r="H11" s="36" t="s">
        <v>23</v>
      </c>
      <c r="I11" s="36" t="s">
        <v>6</v>
      </c>
      <c r="J11" s="118"/>
    </row>
    <row r="12" spans="1:12" ht="15.75">
      <c r="A12" s="35"/>
      <c r="B12" s="35"/>
      <c r="C12" s="35"/>
      <c r="D12" s="440" t="s">
        <v>30</v>
      </c>
      <c r="E12" s="441"/>
      <c r="F12" s="40" t="s">
        <v>30</v>
      </c>
      <c r="G12" s="35"/>
      <c r="H12" s="35" t="s">
        <v>26</v>
      </c>
      <c r="I12" s="36" t="s">
        <v>23</v>
      </c>
      <c r="J12" s="36" t="s">
        <v>23</v>
      </c>
    </row>
    <row r="13" spans="1:12" ht="15.75">
      <c r="A13" s="35" t="s">
        <v>6</v>
      </c>
      <c r="B13" s="35" t="s">
        <v>27</v>
      </c>
      <c r="C13" s="35" t="s">
        <v>28</v>
      </c>
      <c r="D13" s="440" t="s">
        <v>29</v>
      </c>
      <c r="E13" s="441"/>
      <c r="F13" s="40" t="s">
        <v>25</v>
      </c>
      <c r="G13" s="36" t="s">
        <v>23</v>
      </c>
      <c r="H13" s="35" t="s">
        <v>31</v>
      </c>
      <c r="I13" s="37" t="s">
        <v>32</v>
      </c>
      <c r="J13" s="37" t="s">
        <v>33</v>
      </c>
    </row>
    <row r="14" spans="1:12" ht="16.5" thickBot="1">
      <c r="A14" s="38" t="s">
        <v>34</v>
      </c>
      <c r="B14" s="38" t="s">
        <v>35</v>
      </c>
      <c r="C14" s="38" t="s">
        <v>36</v>
      </c>
      <c r="D14" s="38" t="s">
        <v>37</v>
      </c>
      <c r="E14" s="38" t="s">
        <v>38</v>
      </c>
      <c r="F14" s="38" t="s">
        <v>29</v>
      </c>
      <c r="G14" s="38" t="s">
        <v>29</v>
      </c>
      <c r="H14" s="41" t="s">
        <v>39</v>
      </c>
      <c r="I14" s="38" t="s">
        <v>40</v>
      </c>
      <c r="J14" s="38" t="s">
        <v>40</v>
      </c>
    </row>
    <row r="15" spans="1:12" ht="15.75">
      <c r="A15" s="42" t="s">
        <v>41</v>
      </c>
      <c r="B15" s="42" t="s">
        <v>41</v>
      </c>
      <c r="C15" s="42" t="s">
        <v>41</v>
      </c>
      <c r="D15" s="42" t="s">
        <v>95</v>
      </c>
      <c r="E15" s="42" t="s">
        <v>95</v>
      </c>
      <c r="F15" s="42"/>
      <c r="G15" s="42" t="s">
        <v>41</v>
      </c>
      <c r="H15" s="42" t="s">
        <v>42</v>
      </c>
      <c r="I15" s="42" t="s">
        <v>42</v>
      </c>
      <c r="J15" s="42" t="s">
        <v>42</v>
      </c>
    </row>
    <row r="16" spans="1:12" ht="15.75">
      <c r="A16" s="35"/>
      <c r="B16" s="35"/>
      <c r="C16" s="35"/>
      <c r="D16" s="35"/>
      <c r="E16" s="35"/>
      <c r="F16" s="35"/>
      <c r="G16" s="35"/>
      <c r="H16" s="35"/>
      <c r="I16" s="44"/>
      <c r="J16" s="44"/>
    </row>
    <row r="17" spans="1:14" ht="15.75">
      <c r="A17" s="119" t="s">
        <v>108</v>
      </c>
      <c r="B17" s="120" t="s">
        <v>109</v>
      </c>
      <c r="C17" s="121" t="s">
        <v>98</v>
      </c>
      <c r="D17" s="45">
        <v>40.74</v>
      </c>
      <c r="E17" s="45">
        <v>39.76</v>
      </c>
      <c r="F17" s="46">
        <f t="shared" ref="F17" si="0">AVERAGE(D17,E17)</f>
        <v>40.25</v>
      </c>
      <c r="G17" s="46">
        <v>40.21</v>
      </c>
      <c r="H17" s="47">
        <f>647352203-9169683</f>
        <v>638182520</v>
      </c>
      <c r="I17" s="47">
        <v>0</v>
      </c>
      <c r="J17" s="47">
        <f>27425000000+1732000000</f>
        <v>29157000000</v>
      </c>
      <c r="M17" s="144"/>
      <c r="N17" s="144"/>
    </row>
    <row r="18" spans="1:14" ht="16.5" thickBot="1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4" ht="15.75">
      <c r="A19" s="49"/>
      <c r="B19" s="49"/>
      <c r="C19" s="49"/>
      <c r="D19" s="49"/>
      <c r="E19" s="49"/>
      <c r="F19" s="49"/>
      <c r="G19" s="49"/>
      <c r="H19" s="49"/>
      <c r="I19" s="49"/>
      <c r="J19" s="49"/>
    </row>
    <row r="20" spans="1:14" ht="15.75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4" ht="15.75">
      <c r="A21" s="49"/>
      <c r="B21" s="49"/>
      <c r="C21" s="49"/>
      <c r="D21" s="49"/>
      <c r="E21" s="36" t="s">
        <v>6</v>
      </c>
      <c r="F21" s="49"/>
      <c r="G21" s="49"/>
      <c r="H21" s="49"/>
      <c r="I21" s="49"/>
      <c r="J21" s="49"/>
      <c r="K21" s="49"/>
      <c r="L21" s="49"/>
    </row>
    <row r="22" spans="1:14" ht="15.75">
      <c r="A22" s="35"/>
      <c r="B22" s="35"/>
      <c r="C22" s="35"/>
      <c r="D22" s="36" t="s">
        <v>23</v>
      </c>
      <c r="E22" s="36" t="s">
        <v>23</v>
      </c>
      <c r="F22" s="36" t="s">
        <v>23</v>
      </c>
      <c r="G22" s="36" t="s">
        <v>23</v>
      </c>
      <c r="H22" s="36" t="s">
        <v>23</v>
      </c>
      <c r="I22" s="36" t="s">
        <v>23</v>
      </c>
      <c r="J22" s="36" t="s">
        <v>23</v>
      </c>
    </row>
    <row r="23" spans="1:14" ht="15.75">
      <c r="A23" s="35" t="s">
        <v>6</v>
      </c>
      <c r="B23" s="35" t="s">
        <v>27</v>
      </c>
      <c r="C23" s="35" t="s">
        <v>28</v>
      </c>
      <c r="D23" s="35" t="s">
        <v>26</v>
      </c>
      <c r="E23" s="37" t="s">
        <v>32</v>
      </c>
      <c r="F23" s="35" t="s">
        <v>46</v>
      </c>
      <c r="G23" s="37" t="s">
        <v>47</v>
      </c>
      <c r="H23" s="37" t="s">
        <v>48</v>
      </c>
      <c r="I23" s="37" t="s">
        <v>49</v>
      </c>
      <c r="J23" s="37" t="s">
        <v>99</v>
      </c>
    </row>
    <row r="24" spans="1:14" ht="16.5" thickBot="1">
      <c r="A24" s="38" t="s">
        <v>34</v>
      </c>
      <c r="B24" s="38" t="s">
        <v>35</v>
      </c>
      <c r="C24" s="38" t="s">
        <v>36</v>
      </c>
      <c r="D24" s="38" t="s">
        <v>51</v>
      </c>
      <c r="E24" s="38" t="s">
        <v>51</v>
      </c>
      <c r="F24" s="38" t="s">
        <v>51</v>
      </c>
      <c r="G24" s="38" t="s">
        <v>51</v>
      </c>
      <c r="H24" s="38" t="s">
        <v>52</v>
      </c>
      <c r="I24" s="38" t="s">
        <v>6</v>
      </c>
      <c r="J24" s="38" t="s">
        <v>6</v>
      </c>
    </row>
    <row r="25" spans="1:14" ht="15.75">
      <c r="A25" s="42" t="s">
        <v>41</v>
      </c>
      <c r="B25" s="42" t="s">
        <v>41</v>
      </c>
      <c r="C25" s="42" t="s">
        <v>41</v>
      </c>
      <c r="D25" s="42" t="s">
        <v>53</v>
      </c>
      <c r="E25" s="42" t="s">
        <v>42</v>
      </c>
      <c r="F25" s="42" t="s">
        <v>53</v>
      </c>
      <c r="G25" s="42" t="s">
        <v>42</v>
      </c>
      <c r="H25" s="42" t="s">
        <v>53</v>
      </c>
      <c r="I25" s="42" t="s">
        <v>53</v>
      </c>
      <c r="J25" s="42" t="s">
        <v>53</v>
      </c>
    </row>
    <row r="26" spans="1:14" ht="15.75">
      <c r="A26" s="35"/>
      <c r="B26" s="35"/>
      <c r="C26" s="35"/>
      <c r="D26" s="49"/>
      <c r="E26" s="49"/>
      <c r="G26" s="44"/>
      <c r="H26" s="44"/>
      <c r="I26" s="44"/>
      <c r="J26" s="44"/>
    </row>
    <row r="27" spans="1:14" ht="15.75">
      <c r="A27" s="119" t="str">
        <f>+A17</f>
        <v xml:space="preserve">Delta Air Lines </v>
      </c>
      <c r="B27" s="120" t="str">
        <f>+B17</f>
        <v>DAL</v>
      </c>
      <c r="C27" s="121" t="str">
        <f>+C17</f>
        <v>Airtrans</v>
      </c>
      <c r="D27" s="145">
        <f>+G17*(H17)</f>
        <v>25661319129.200001</v>
      </c>
      <c r="E27" s="52">
        <f>(1/1)*I17</f>
        <v>0</v>
      </c>
      <c r="F27" s="146">
        <f>G41</f>
        <v>6391000000</v>
      </c>
      <c r="G27" s="47">
        <f>(29800/27974)*J17</f>
        <v>31060220204.475582</v>
      </c>
      <c r="H27" s="47">
        <f t="shared" ref="H27" si="1">+D27+E27+F27+G27</f>
        <v>63112539333.675583</v>
      </c>
      <c r="I27" s="54">
        <f t="shared" ref="I27" si="2">+D27/H27</f>
        <v>0.40659620734841256</v>
      </c>
      <c r="J27" s="54">
        <f t="shared" ref="J27" si="3">(+F27+G27)/H27</f>
        <v>0.59340379265158749</v>
      </c>
    </row>
    <row r="28" spans="1:14">
      <c r="G28" s="3" t="s">
        <v>6</v>
      </c>
    </row>
    <row r="29" spans="1:14" ht="15.75">
      <c r="H29" s="58"/>
      <c r="I29" s="58"/>
      <c r="J29" s="58"/>
    </row>
    <row r="30" spans="1:14" ht="15.75">
      <c r="A30" s="22" t="s">
        <v>54</v>
      </c>
      <c r="H30" s="58" t="s">
        <v>57</v>
      </c>
      <c r="I30" s="54">
        <f>MEDIAN(I27:I27)</f>
        <v>0.40659620734841256</v>
      </c>
      <c r="J30" s="54">
        <f>MEDIAN(J27:J27)</f>
        <v>0.59340379265158749</v>
      </c>
    </row>
    <row r="31" spans="1:14" ht="15.75">
      <c r="A31" s="22" t="s">
        <v>56</v>
      </c>
      <c r="F31" s="131" t="s">
        <v>6</v>
      </c>
      <c r="G31" t="s">
        <v>6</v>
      </c>
      <c r="H31" s="58" t="s">
        <v>25</v>
      </c>
      <c r="I31" s="12">
        <f>AVERAGE(I27:I27)</f>
        <v>0.40659620734841256</v>
      </c>
      <c r="J31" s="12">
        <f>AVERAGE(J27:J27)</f>
        <v>0.59340379265158749</v>
      </c>
    </row>
    <row r="32" spans="1:14" ht="15.75">
      <c r="A32" s="22" t="s">
        <v>58</v>
      </c>
      <c r="C32" s="132"/>
      <c r="D32" s="133"/>
      <c r="H32" s="24"/>
      <c r="I32" s="24"/>
      <c r="J32" s="24"/>
    </row>
    <row r="33" spans="3:10" ht="21">
      <c r="F33" s="131" t="s">
        <v>6</v>
      </c>
      <c r="H33" s="61" t="s">
        <v>20</v>
      </c>
      <c r="I33" s="62">
        <v>0.41</v>
      </c>
      <c r="J33" s="62">
        <v>0.59</v>
      </c>
    </row>
    <row r="34" spans="3:10">
      <c r="C34" s="132"/>
    </row>
    <row r="35" spans="3:10" ht="15.75">
      <c r="C35" s="132" t="s">
        <v>6</v>
      </c>
      <c r="H35" t="s">
        <v>6</v>
      </c>
      <c r="I35" s="24"/>
      <c r="J35" s="24"/>
    </row>
    <row r="36" spans="3:10">
      <c r="C36" s="132"/>
    </row>
    <row r="37" spans="3:10">
      <c r="C37" s="132"/>
    </row>
    <row r="38" spans="3:10">
      <c r="C38" s="132" t="s">
        <v>6</v>
      </c>
      <c r="H38" t="s">
        <v>6</v>
      </c>
    </row>
    <row r="39" spans="3:10">
      <c r="C39" s="132"/>
    </row>
    <row r="40" spans="3:10">
      <c r="C40" s="132"/>
      <c r="D40" s="67" t="s">
        <v>60</v>
      </c>
      <c r="E40" s="134" t="s">
        <v>34</v>
      </c>
      <c r="F40" s="69" t="s">
        <v>61</v>
      </c>
      <c r="G40" s="69" t="s">
        <v>62</v>
      </c>
      <c r="H40" t="s">
        <v>6</v>
      </c>
    </row>
    <row r="41" spans="3:10" ht="15" customHeight="1">
      <c r="C41" s="132"/>
      <c r="D41" s="70">
        <v>2969000000</v>
      </c>
      <c r="E41" s="71" t="str">
        <f>+A27</f>
        <v xml:space="preserve">Delta Air Lines </v>
      </c>
      <c r="F41" s="72">
        <v>5733000000</v>
      </c>
      <c r="G41" s="72">
        <f>(678+5713)*1000000</f>
        <v>6391000000</v>
      </c>
    </row>
  </sheetData>
  <mergeCells count="2">
    <mergeCell ref="D12:E12"/>
    <mergeCell ref="D13:E13"/>
  </mergeCells>
  <pageMargins left="0.25" right="0.25" top="0.75" bottom="0.75" header="0.3" footer="0.3"/>
  <pageSetup scale="32" orientation="portrait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J17"/>
  <sheetViews>
    <sheetView zoomScaleNormal="100" workbookViewId="0">
      <selection activeCell="H11" sqref="H11"/>
    </sheetView>
  </sheetViews>
  <sheetFormatPr defaultRowHeight="15"/>
  <cols>
    <col min="1" max="1" width="39" customWidth="1"/>
    <col min="2" max="2" width="18.28515625" customWidth="1"/>
    <col min="3" max="3" width="12.28515625" bestFit="1" customWidth="1"/>
    <col min="4" max="4" width="16.28515625" customWidth="1"/>
    <col min="5" max="5" width="16.42578125" customWidth="1"/>
    <col min="6" max="6" width="13.7109375" bestFit="1" customWidth="1"/>
    <col min="7" max="7" width="10.5703125" customWidth="1"/>
    <col min="8" max="8" width="23.140625" customWidth="1"/>
    <col min="9" max="9" width="16.42578125" customWidth="1"/>
    <col min="10" max="10" width="14.5703125" customWidth="1"/>
  </cols>
  <sheetData>
    <row r="1" spans="1:10" ht="21">
      <c r="A1" s="23" t="s">
        <v>0</v>
      </c>
    </row>
    <row r="2" spans="1:10" ht="15.75">
      <c r="A2" s="24" t="s">
        <v>1</v>
      </c>
    </row>
    <row r="3" spans="1:10">
      <c r="A3" s="22" t="s">
        <v>2</v>
      </c>
    </row>
    <row r="4" spans="1:10">
      <c r="F4" s="4" t="s">
        <v>6</v>
      </c>
    </row>
    <row r="5" spans="1:10" ht="15.75">
      <c r="A5" s="76" t="s">
        <v>101</v>
      </c>
    </row>
    <row r="6" spans="1:10" ht="15.75" thickBot="1">
      <c r="A6" s="77" t="s">
        <v>6</v>
      </c>
      <c r="B6" s="77" t="s">
        <v>6</v>
      </c>
      <c r="C6" s="77" t="s">
        <v>6</v>
      </c>
      <c r="D6" s="77"/>
      <c r="E6" s="77"/>
      <c r="F6" s="77" t="s">
        <v>6</v>
      </c>
      <c r="G6" s="77" t="s">
        <v>6</v>
      </c>
      <c r="H6" s="77" t="s">
        <v>6</v>
      </c>
      <c r="I6" s="5"/>
    </row>
    <row r="7" spans="1:10">
      <c r="A7" s="8" t="s">
        <v>6</v>
      </c>
      <c r="B7" s="8" t="s">
        <v>27</v>
      </c>
      <c r="C7" s="8" t="s">
        <v>28</v>
      </c>
      <c r="D7" s="8" t="s">
        <v>63</v>
      </c>
      <c r="E7" s="8" t="s">
        <v>64</v>
      </c>
      <c r="F7" s="8" t="s">
        <v>65</v>
      </c>
      <c r="G7" s="8" t="s">
        <v>66</v>
      </c>
      <c r="H7" s="8" t="s">
        <v>102</v>
      </c>
      <c r="I7" s="8" t="s">
        <v>6</v>
      </c>
    </row>
    <row r="8" spans="1:10" ht="15.75" thickBot="1">
      <c r="A8" s="7" t="s">
        <v>34</v>
      </c>
      <c r="B8" s="7" t="s">
        <v>35</v>
      </c>
      <c r="C8" s="7" t="s">
        <v>36</v>
      </c>
      <c r="D8" s="7"/>
      <c r="E8" s="7" t="s">
        <v>69</v>
      </c>
      <c r="F8" s="7" t="s">
        <v>70</v>
      </c>
      <c r="G8" s="7" t="s">
        <v>71</v>
      </c>
      <c r="H8" s="7" t="s">
        <v>71</v>
      </c>
      <c r="I8" s="7" t="s">
        <v>72</v>
      </c>
    </row>
    <row r="9" spans="1:10">
      <c r="A9" s="9" t="s">
        <v>41</v>
      </c>
      <c r="B9" s="9" t="s">
        <v>41</v>
      </c>
      <c r="C9" s="9" t="s">
        <v>41</v>
      </c>
      <c r="D9" s="9" t="s">
        <v>41</v>
      </c>
      <c r="E9" s="9" t="s">
        <v>41</v>
      </c>
      <c r="F9" s="9" t="s">
        <v>41</v>
      </c>
      <c r="G9" s="9" t="s">
        <v>66</v>
      </c>
      <c r="H9" s="9" t="s">
        <v>68</v>
      </c>
      <c r="I9" s="9" t="s">
        <v>68</v>
      </c>
    </row>
    <row r="10" spans="1:10">
      <c r="A10" s="8"/>
      <c r="B10" s="8"/>
      <c r="C10" s="8"/>
      <c r="D10" s="8"/>
      <c r="E10" s="8"/>
      <c r="F10" s="8"/>
      <c r="G10" s="8"/>
      <c r="H10" s="8"/>
    </row>
    <row r="11" spans="1:10">
      <c r="A11" s="119" t="s">
        <v>108</v>
      </c>
      <c r="B11" s="120" t="s">
        <v>109</v>
      </c>
      <c r="C11" s="3" t="s">
        <v>74</v>
      </c>
      <c r="D11" s="98">
        <v>1.55</v>
      </c>
      <c r="E11" s="81">
        <v>0</v>
      </c>
      <c r="F11" s="135" t="s">
        <v>110</v>
      </c>
      <c r="G11" s="78" t="s">
        <v>211</v>
      </c>
      <c r="H11" s="78" t="s">
        <v>111</v>
      </c>
      <c r="I11" s="136">
        <v>3.2899999999999999E-2</v>
      </c>
    </row>
    <row r="12" spans="1:10" ht="15.75" thickBot="1">
      <c r="A12" s="83" t="s">
        <v>6</v>
      </c>
      <c r="B12" s="137" t="s">
        <v>6</v>
      </c>
      <c r="C12" s="101" t="s">
        <v>6</v>
      </c>
      <c r="D12" s="101" t="s">
        <v>6</v>
      </c>
      <c r="E12" s="103" t="s">
        <v>6</v>
      </c>
      <c r="F12" s="101" t="s">
        <v>6</v>
      </c>
      <c r="G12" s="101" t="s">
        <v>6</v>
      </c>
      <c r="H12" s="103" t="s">
        <v>6</v>
      </c>
      <c r="I12" s="82"/>
    </row>
    <row r="13" spans="1:10" ht="15.75" thickTop="1">
      <c r="C13" s="87"/>
      <c r="D13" s="87"/>
      <c r="E13" s="87"/>
      <c r="F13" s="135" t="s">
        <v>6</v>
      </c>
      <c r="G13" s="98"/>
      <c r="H13" s="3"/>
      <c r="I13" s="87"/>
    </row>
    <row r="14" spans="1:10">
      <c r="C14" s="87" t="s">
        <v>57</v>
      </c>
      <c r="D14" s="88">
        <f>MEDIAN(D11:D11)</f>
        <v>1.55</v>
      </c>
      <c r="E14" s="89">
        <f>MEDIAN(E11:E11)</f>
        <v>0</v>
      </c>
      <c r="F14" s="135" t="s">
        <v>105</v>
      </c>
      <c r="G14" s="98" t="s">
        <v>6</v>
      </c>
      <c r="H14" s="3" t="s">
        <v>106</v>
      </c>
      <c r="I14" s="89">
        <f>MEDIAN(I11:I11)</f>
        <v>3.2899999999999999E-2</v>
      </c>
    </row>
    <row r="15" spans="1:10">
      <c r="C15" s="87" t="s">
        <v>25</v>
      </c>
      <c r="D15" s="90">
        <f>AVERAGE(D11:D11)</f>
        <v>1.55</v>
      </c>
      <c r="E15" s="91">
        <f>AVERAGE(E11:E11)</f>
        <v>0</v>
      </c>
      <c r="I15" s="91">
        <f>AVERAGE(I11:I11)</f>
        <v>3.2899999999999999E-2</v>
      </c>
    </row>
    <row r="16" spans="1:10">
      <c r="J16" s="138"/>
    </row>
    <row r="17" spans="8:10" ht="21">
      <c r="H17" s="61" t="s">
        <v>78</v>
      </c>
      <c r="I17" s="93">
        <v>3.2899999999999999E-2</v>
      </c>
      <c r="J17" s="93" t="s">
        <v>6</v>
      </c>
    </row>
  </sheetData>
  <pageMargins left="0.25" right="0.25" top="0.75" bottom="0.75" header="0.3" footer="0.3"/>
  <pageSetup scale="66"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L32"/>
  <sheetViews>
    <sheetView zoomScale="90" zoomScaleNormal="90" workbookViewId="0">
      <selection activeCell="F18" sqref="F18"/>
    </sheetView>
  </sheetViews>
  <sheetFormatPr defaultRowHeight="15"/>
  <cols>
    <col min="1" max="1" width="43.7109375" customWidth="1"/>
    <col min="2" max="2" width="14.28515625" customWidth="1"/>
    <col min="3" max="3" width="16.85546875" customWidth="1"/>
    <col min="4" max="4" width="17.5703125" customWidth="1"/>
    <col min="5" max="5" width="15.42578125" customWidth="1"/>
    <col min="6" max="6" width="21.710937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D4" s="4" t="s">
        <v>6</v>
      </c>
    </row>
    <row r="5" spans="1:12" ht="15.75">
      <c r="A5" s="76" t="s">
        <v>101</v>
      </c>
    </row>
    <row r="6" spans="1:12" ht="15.75">
      <c r="A6" s="76"/>
    </row>
    <row r="7" spans="1:12" ht="18.75">
      <c r="A7" s="76"/>
      <c r="D7" s="95" t="s">
        <v>79</v>
      </c>
    </row>
    <row r="8" spans="1:12" ht="18.75">
      <c r="A8" s="76"/>
      <c r="D8" s="95" t="s">
        <v>80</v>
      </c>
    </row>
    <row r="9" spans="1:12" ht="15.75">
      <c r="A9" s="76"/>
    </row>
    <row r="10" spans="1:12" ht="15.75" thickBot="1">
      <c r="A10" s="77" t="s">
        <v>6</v>
      </c>
      <c r="B10" s="77" t="s">
        <v>6</v>
      </c>
      <c r="C10" s="77" t="s">
        <v>6</v>
      </c>
      <c r="D10" s="77" t="s">
        <v>6</v>
      </c>
      <c r="E10" s="77" t="s">
        <v>6</v>
      </c>
      <c r="F10" s="77" t="s">
        <v>6</v>
      </c>
    </row>
    <row r="11" spans="1:12">
      <c r="A11" s="8" t="s">
        <v>6</v>
      </c>
      <c r="B11" s="8" t="s">
        <v>27</v>
      </c>
      <c r="C11" s="8" t="s">
        <v>6</v>
      </c>
      <c r="D11" s="8" t="s">
        <v>81</v>
      </c>
      <c r="E11" s="8" t="s">
        <v>81</v>
      </c>
      <c r="F11" s="8" t="s">
        <v>82</v>
      </c>
    </row>
    <row r="12" spans="1:12" ht="15.75" thickBot="1">
      <c r="A12" s="7" t="s">
        <v>34</v>
      </c>
      <c r="B12" s="7" t="s">
        <v>35</v>
      </c>
      <c r="C12" s="7" t="s">
        <v>83</v>
      </c>
      <c r="D12" s="7" t="s">
        <v>84</v>
      </c>
      <c r="E12" s="7" t="s">
        <v>85</v>
      </c>
      <c r="F12" s="7" t="s">
        <v>86</v>
      </c>
    </row>
    <row r="13" spans="1:12">
      <c r="A13" s="9" t="s">
        <v>6</v>
      </c>
      <c r="B13" s="9" t="s">
        <v>6</v>
      </c>
      <c r="C13" s="9" t="s">
        <v>41</v>
      </c>
      <c r="D13" s="9" t="s">
        <v>41</v>
      </c>
      <c r="E13" s="9" t="s">
        <v>6</v>
      </c>
      <c r="F13" s="9" t="s">
        <v>6</v>
      </c>
    </row>
    <row r="14" spans="1:12">
      <c r="A14" s="8"/>
      <c r="B14" s="8"/>
      <c r="C14" s="8"/>
      <c r="D14" s="8"/>
      <c r="E14" s="8"/>
      <c r="F14" s="8"/>
    </row>
    <row r="15" spans="1:12">
      <c r="K15" s="73"/>
      <c r="L15" s="73"/>
    </row>
    <row r="16" spans="1:12">
      <c r="A16" s="22" t="s">
        <v>108</v>
      </c>
      <c r="B16" s="120" t="s">
        <v>109</v>
      </c>
      <c r="C16" s="147">
        <v>40.21</v>
      </c>
      <c r="D16" s="78">
        <v>6.7</v>
      </c>
      <c r="E16" s="140">
        <f t="shared" ref="E16" si="0">C16/D16</f>
        <v>6.0014925373134327</v>
      </c>
      <c r="F16" s="136">
        <f t="shared" ref="F16" si="1">1/E16</f>
        <v>0.1666252176075603</v>
      </c>
      <c r="K16" s="73"/>
      <c r="L16" s="73"/>
    </row>
    <row r="17" spans="1:6" ht="15.75" thickBot="1">
      <c r="A17" s="83" t="s">
        <v>6</v>
      </c>
      <c r="B17" s="137" t="s">
        <v>6</v>
      </c>
      <c r="C17" s="141" t="s">
        <v>6</v>
      </c>
      <c r="D17" s="142" t="s">
        <v>6</v>
      </c>
      <c r="E17" s="102" t="s">
        <v>6</v>
      </c>
      <c r="F17" s="143" t="s">
        <v>6</v>
      </c>
    </row>
    <row r="18" spans="1:6" ht="15.75" thickTop="1">
      <c r="B18" s="3"/>
      <c r="C18" s="87"/>
      <c r="D18" s="87"/>
      <c r="E18" s="87"/>
      <c r="F18" s="87"/>
    </row>
    <row r="19" spans="1:6">
      <c r="B19" s="3" t="s">
        <v>57</v>
      </c>
      <c r="C19" s="99">
        <f>MEDIAN(C16:C16)</f>
        <v>40.21</v>
      </c>
      <c r="D19" s="99">
        <f>MEDIAN(D16:D16)</f>
        <v>6.7</v>
      </c>
      <c r="E19" s="99">
        <f>MEDIAN(E16:E16)</f>
        <v>6.0014925373134327</v>
      </c>
      <c r="F19" s="100">
        <f>MEDIAN(F16:F16)</f>
        <v>0.1666252176075603</v>
      </c>
    </row>
    <row r="20" spans="1:6">
      <c r="B20" s="3" t="s">
        <v>25</v>
      </c>
      <c r="C20" s="99">
        <f>AVERAGE(C16:C16)</f>
        <v>40.21</v>
      </c>
      <c r="D20" s="99">
        <f>AVERAGE(D16:D16)</f>
        <v>6.7</v>
      </c>
      <c r="E20" s="99">
        <f>AVERAGE(E16:E16)</f>
        <v>6.0014925373134327</v>
      </c>
      <c r="F20" s="100">
        <f>AVERAGE(F16:F16)</f>
        <v>0.1666252176075603</v>
      </c>
    </row>
    <row r="21" spans="1:6">
      <c r="B21" s="3"/>
      <c r="C21" s="99"/>
      <c r="D21" s="99"/>
      <c r="E21" s="99"/>
      <c r="F21" s="91"/>
    </row>
    <row r="22" spans="1:6" ht="21">
      <c r="B22" s="3"/>
      <c r="C22" s="99"/>
      <c r="D22" s="99"/>
      <c r="E22" s="105" t="s">
        <v>20</v>
      </c>
      <c r="F22" s="93">
        <v>0.1666</v>
      </c>
    </row>
    <row r="23" spans="1:6">
      <c r="B23" s="3"/>
      <c r="C23" s="106"/>
      <c r="D23" s="106"/>
      <c r="E23" s="106"/>
      <c r="F23" s="107"/>
    </row>
    <row r="30" spans="1:6">
      <c r="E30" t="s">
        <v>6</v>
      </c>
    </row>
    <row r="32" spans="1:6">
      <c r="E32" t="s">
        <v>6</v>
      </c>
    </row>
  </sheetData>
  <pageMargins left="0.25" right="0.25" top="0.75" bottom="0.75" header="0.3" footer="0.3"/>
  <pageSetup scale="78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G24"/>
  <sheetViews>
    <sheetView zoomScaleNormal="100" workbookViewId="0">
      <selection activeCell="D9" sqref="D9"/>
    </sheetView>
  </sheetViews>
  <sheetFormatPr defaultRowHeight="15"/>
  <cols>
    <col min="1" max="1" width="24.85546875" customWidth="1"/>
    <col min="2" max="2" width="13.28515625" bestFit="1" customWidth="1"/>
    <col min="3" max="3" width="28.5703125" customWidth="1"/>
    <col min="4" max="4" width="12" bestFit="1" customWidth="1"/>
    <col min="5" max="5" width="20.85546875" bestFit="1" customWidth="1"/>
    <col min="6" max="6" width="13" bestFit="1" customWidth="1"/>
  </cols>
  <sheetData>
    <row r="1" spans="1:7" ht="21">
      <c r="C1" s="1" t="s">
        <v>0</v>
      </c>
    </row>
    <row r="2" spans="1:7" ht="15.75">
      <c r="C2" s="2" t="s">
        <v>1</v>
      </c>
    </row>
    <row r="4" spans="1:7">
      <c r="C4" s="3" t="s">
        <v>2</v>
      </c>
    </row>
    <row r="5" spans="1:7">
      <c r="C5" s="3" t="s">
        <v>3</v>
      </c>
    </row>
    <row r="8" spans="1:7">
      <c r="D8" s="4"/>
    </row>
    <row r="10" spans="1:7" ht="15.75" thickBot="1">
      <c r="B10" s="5"/>
      <c r="C10" s="5"/>
      <c r="D10" s="5"/>
    </row>
    <row r="11" spans="1:7" ht="21">
      <c r="C11" s="6" t="s">
        <v>112</v>
      </c>
    </row>
    <row r="12" spans="1:7" ht="15.75" thickBot="1">
      <c r="B12" s="5"/>
      <c r="C12" s="7" t="s">
        <v>5</v>
      </c>
      <c r="D12" s="5"/>
    </row>
    <row r="13" spans="1:7" ht="15.75" thickBot="1">
      <c r="A13" s="5"/>
      <c r="B13" s="5"/>
      <c r="C13" s="7" t="s">
        <v>6</v>
      </c>
      <c r="D13" s="5"/>
      <c r="E13" s="5"/>
      <c r="F13" s="5"/>
      <c r="G13" s="5"/>
    </row>
    <row r="14" spans="1:7">
      <c r="A14" s="8" t="s">
        <v>7</v>
      </c>
      <c r="B14" s="8" t="s">
        <v>8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6</v>
      </c>
    </row>
    <row r="15" spans="1:7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  <c r="G15" s="7" t="s">
        <v>6</v>
      </c>
    </row>
    <row r="16" spans="1:7">
      <c r="A16" s="9" t="s">
        <v>6</v>
      </c>
      <c r="B16" s="9" t="s">
        <v>6</v>
      </c>
      <c r="C16" s="9" t="s">
        <v>6</v>
      </c>
      <c r="D16" s="9" t="s">
        <v>6</v>
      </c>
      <c r="E16" s="9" t="s">
        <v>6</v>
      </c>
      <c r="F16" s="9" t="s">
        <v>6</v>
      </c>
      <c r="G16" s="9" t="s">
        <v>6</v>
      </c>
    </row>
    <row r="17" spans="1:7">
      <c r="A17" s="8"/>
      <c r="B17" s="8"/>
      <c r="C17" s="8"/>
      <c r="D17" s="8"/>
      <c r="E17" s="8"/>
      <c r="F17" s="8"/>
      <c r="G17" s="8"/>
    </row>
    <row r="18" spans="1:7" ht="15.75">
      <c r="A18" s="2" t="s">
        <v>17</v>
      </c>
      <c r="B18" s="10">
        <v>0.37</v>
      </c>
      <c r="C18" s="11">
        <v>0.23200000000000001</v>
      </c>
      <c r="D18" s="2" t="s">
        <v>6</v>
      </c>
      <c r="E18" s="11">
        <f>+C18</f>
        <v>0.23200000000000001</v>
      </c>
      <c r="F18" s="12">
        <f>+E18*B18</f>
        <v>8.584E-2</v>
      </c>
      <c r="G18" s="13" t="s">
        <v>6</v>
      </c>
    </row>
    <row r="19" spans="1:7" ht="15.75">
      <c r="A19" s="2" t="s">
        <v>6</v>
      </c>
      <c r="B19" s="14" t="s">
        <v>6</v>
      </c>
      <c r="C19" s="2" t="s">
        <v>6</v>
      </c>
      <c r="D19" s="2" t="s">
        <v>6</v>
      </c>
      <c r="E19" s="15" t="s">
        <v>6</v>
      </c>
      <c r="F19" s="12" t="s">
        <v>6</v>
      </c>
      <c r="G19" s="13" t="s">
        <v>6</v>
      </c>
    </row>
    <row r="20" spans="1:7" ht="15.75">
      <c r="A20" s="2" t="s">
        <v>18</v>
      </c>
      <c r="B20" s="10">
        <v>0.63</v>
      </c>
      <c r="C20" s="16">
        <v>3.2899999999999999E-2</v>
      </c>
      <c r="D20" s="116">
        <v>0.26</v>
      </c>
      <c r="E20" s="11">
        <f>+C20*(1-D20)</f>
        <v>2.4346E-2</v>
      </c>
      <c r="F20" s="12">
        <f>+B20*E20</f>
        <v>1.5337979999999999E-2</v>
      </c>
      <c r="G20" s="13" t="s">
        <v>6</v>
      </c>
    </row>
    <row r="21" spans="1:7" ht="16.5" thickBot="1">
      <c r="A21" s="17" t="s">
        <v>6</v>
      </c>
      <c r="B21" s="17" t="s">
        <v>6</v>
      </c>
      <c r="C21" s="17" t="s">
        <v>6</v>
      </c>
      <c r="D21" s="17" t="s">
        <v>6</v>
      </c>
      <c r="E21" s="18" t="s">
        <v>6</v>
      </c>
      <c r="F21" s="19" t="s">
        <v>6</v>
      </c>
      <c r="G21" s="20" t="s">
        <v>6</v>
      </c>
    </row>
    <row r="22" spans="1:7" ht="15.75">
      <c r="A22" s="2" t="s">
        <v>19</v>
      </c>
      <c r="B22" s="21">
        <f>+B18+B20</f>
        <v>1</v>
      </c>
      <c r="C22" s="2" t="s">
        <v>6</v>
      </c>
      <c r="D22" s="2" t="s">
        <v>6</v>
      </c>
      <c r="E22" s="15" t="s">
        <v>6</v>
      </c>
      <c r="F22" s="12">
        <f>+F18+F20</f>
        <v>0.10117798</v>
      </c>
      <c r="G22" s="13" t="s">
        <v>6</v>
      </c>
    </row>
    <row r="23" spans="1:7">
      <c r="A23" s="22"/>
      <c r="B23" s="22"/>
      <c r="C23" s="22"/>
      <c r="D23" s="22"/>
      <c r="E23" s="22"/>
      <c r="F23" s="22"/>
      <c r="G23" s="22"/>
    </row>
    <row r="24" spans="1:7" ht="15.75">
      <c r="E24" s="15" t="s">
        <v>20</v>
      </c>
      <c r="F24" s="12">
        <v>0.1012</v>
      </c>
    </row>
  </sheetData>
  <pageMargins left="0.25" right="0.25" top="0.75" bottom="0.75" header="0.3" footer="0.3"/>
  <pageSetup scale="8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L42"/>
  <sheetViews>
    <sheetView zoomScale="70" zoomScaleNormal="70" zoomScalePageLayoutView="70" workbookViewId="0">
      <selection activeCell="F15" sqref="F15"/>
    </sheetView>
  </sheetViews>
  <sheetFormatPr defaultRowHeight="15"/>
  <cols>
    <col min="1" max="1" width="55.7109375" customWidth="1"/>
    <col min="2" max="2" width="10.85546875" bestFit="1" customWidth="1"/>
    <col min="3" max="3" width="19" customWidth="1"/>
    <col min="4" max="4" width="25.5703125" bestFit="1" customWidth="1"/>
    <col min="5" max="5" width="28.140625" customWidth="1"/>
    <col min="6" max="6" width="25.140625" customWidth="1"/>
    <col min="7" max="7" width="26.42578125" customWidth="1"/>
    <col min="8" max="8" width="25" customWidth="1"/>
    <col min="9" max="9" width="28" customWidth="1"/>
    <col min="10" max="10" width="26.28515625" customWidth="1"/>
    <col min="11" max="11" width="23.42578125" customWidth="1"/>
    <col min="12" max="12" width="28" customWidth="1"/>
    <col min="13" max="13" width="30.140625" bestFit="1" customWidth="1"/>
    <col min="14" max="14" width="9.14062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E4" s="4" t="s">
        <v>6</v>
      </c>
      <c r="K4" t="s">
        <v>6</v>
      </c>
    </row>
    <row r="6" spans="1:12">
      <c r="A6" s="25" t="s">
        <v>21</v>
      </c>
      <c r="B6" s="26"/>
      <c r="C6" s="26"/>
      <c r="D6" s="26"/>
      <c r="E6" s="26"/>
      <c r="F6" s="26"/>
      <c r="G6" s="27"/>
      <c r="H6" s="28"/>
      <c r="I6" s="28"/>
      <c r="J6" s="29"/>
      <c r="K6" s="29"/>
      <c r="L6" s="29"/>
    </row>
    <row r="7" spans="1:1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.7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20.25">
      <c r="A9" s="31" t="s">
        <v>94</v>
      </c>
      <c r="B9" s="28"/>
      <c r="C9" s="28"/>
      <c r="D9" s="28"/>
      <c r="E9" s="28"/>
      <c r="F9" s="28"/>
      <c r="G9" s="28"/>
      <c r="H9" s="28"/>
      <c r="I9" s="28"/>
      <c r="J9" s="28"/>
    </row>
    <row r="10" spans="1:12" ht="15.75" thickBot="1">
      <c r="A10" s="32" t="s">
        <v>6</v>
      </c>
      <c r="B10" s="33" t="s">
        <v>6</v>
      </c>
      <c r="C10" s="33" t="s">
        <v>6</v>
      </c>
      <c r="D10" s="33"/>
      <c r="E10" s="33"/>
      <c r="F10" s="33"/>
      <c r="G10" s="33" t="s">
        <v>6</v>
      </c>
      <c r="H10" s="34"/>
      <c r="I10" s="34"/>
      <c r="J10" s="34"/>
    </row>
    <row r="11" spans="1:12" ht="15.75">
      <c r="A11" s="117"/>
      <c r="B11" s="117"/>
      <c r="C11" s="117"/>
      <c r="F11" s="117"/>
      <c r="G11" s="117"/>
      <c r="H11" s="36" t="s">
        <v>23</v>
      </c>
      <c r="I11" s="36" t="s">
        <v>6</v>
      </c>
      <c r="J11" s="118"/>
    </row>
    <row r="12" spans="1:12" ht="15.75">
      <c r="A12" s="35"/>
      <c r="B12" s="35"/>
      <c r="C12" s="35"/>
      <c r="D12" s="440" t="s">
        <v>30</v>
      </c>
      <c r="E12" s="441"/>
      <c r="F12" s="40" t="s">
        <v>30</v>
      </c>
      <c r="G12" s="35"/>
      <c r="H12" s="35" t="s">
        <v>26</v>
      </c>
      <c r="I12" s="36" t="s">
        <v>23</v>
      </c>
      <c r="J12" s="36" t="s">
        <v>23</v>
      </c>
    </row>
    <row r="13" spans="1:12" ht="15.75">
      <c r="A13" s="35" t="s">
        <v>6</v>
      </c>
      <c r="B13" s="35" t="s">
        <v>27</v>
      </c>
      <c r="C13" s="35" t="s">
        <v>28</v>
      </c>
      <c r="D13" s="440" t="s">
        <v>29</v>
      </c>
      <c r="E13" s="441"/>
      <c r="F13" s="40" t="s">
        <v>25</v>
      </c>
      <c r="G13" s="36" t="s">
        <v>23</v>
      </c>
      <c r="H13" s="35" t="s">
        <v>31</v>
      </c>
      <c r="I13" s="37" t="s">
        <v>32</v>
      </c>
      <c r="J13" s="37" t="s">
        <v>33</v>
      </c>
    </row>
    <row r="14" spans="1:12" ht="16.5" thickBot="1">
      <c r="A14" s="38" t="s">
        <v>34</v>
      </c>
      <c r="B14" s="38" t="s">
        <v>35</v>
      </c>
      <c r="C14" s="38" t="s">
        <v>36</v>
      </c>
      <c r="D14" s="38" t="s">
        <v>37</v>
      </c>
      <c r="E14" s="38" t="s">
        <v>38</v>
      </c>
      <c r="F14" s="38" t="s">
        <v>29</v>
      </c>
      <c r="G14" s="38" t="s">
        <v>29</v>
      </c>
      <c r="H14" s="41" t="s">
        <v>39</v>
      </c>
      <c r="I14" s="38" t="s">
        <v>40</v>
      </c>
      <c r="J14" s="38" t="s">
        <v>40</v>
      </c>
    </row>
    <row r="15" spans="1:12" ht="15.75">
      <c r="A15" s="42" t="s">
        <v>41</v>
      </c>
      <c r="B15" s="42" t="s">
        <v>41</v>
      </c>
      <c r="C15" s="42" t="s">
        <v>41</v>
      </c>
      <c r="D15" s="42" t="s">
        <v>95</v>
      </c>
      <c r="E15" s="42" t="s">
        <v>95</v>
      </c>
      <c r="F15" s="42"/>
      <c r="G15" s="42" t="s">
        <v>95</v>
      </c>
      <c r="H15" s="42" t="s">
        <v>42</v>
      </c>
      <c r="I15" s="42" t="s">
        <v>42</v>
      </c>
      <c r="J15" s="42" t="s">
        <v>42</v>
      </c>
    </row>
    <row r="16" spans="1:12" ht="15.75">
      <c r="A16" s="35"/>
      <c r="B16" s="35"/>
      <c r="C16" s="35"/>
      <c r="D16" s="35"/>
      <c r="E16" s="35"/>
      <c r="F16" s="35"/>
      <c r="G16" s="35"/>
      <c r="H16" s="35"/>
      <c r="I16" s="44"/>
      <c r="J16" s="44"/>
    </row>
    <row r="17" spans="1:12" ht="15.75">
      <c r="A17" s="60" t="s">
        <v>113</v>
      </c>
      <c r="B17" s="147" t="s">
        <v>114</v>
      </c>
      <c r="C17" s="45" t="s">
        <v>74</v>
      </c>
      <c r="D17" s="45">
        <v>40.94</v>
      </c>
      <c r="E17" s="46">
        <v>39.64</v>
      </c>
      <c r="F17" s="46">
        <f t="shared" ref="F17" si="0">AVERAGE(D17,E17)</f>
        <v>40.29</v>
      </c>
      <c r="G17" s="46">
        <v>40.31</v>
      </c>
      <c r="H17" s="47">
        <f>82094985-31913635</f>
        <v>50181350</v>
      </c>
      <c r="I17" s="47">
        <v>0</v>
      </c>
      <c r="J17" s="47">
        <f>2801538000+402158000</f>
        <v>3203696000</v>
      </c>
    </row>
    <row r="18" spans="1:12" ht="16.5" thickBot="1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2" ht="15.75">
      <c r="A19" s="49"/>
      <c r="B19" s="49"/>
      <c r="C19" s="49"/>
      <c r="D19" s="49"/>
      <c r="E19" s="49"/>
      <c r="F19" s="49"/>
      <c r="G19" s="49"/>
      <c r="H19" s="49"/>
      <c r="I19" s="49"/>
      <c r="J19" s="49"/>
    </row>
    <row r="20" spans="1:12" ht="15.75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2" ht="15.75">
      <c r="A21" s="49"/>
      <c r="B21" s="49"/>
      <c r="C21" s="49"/>
      <c r="D21" s="49"/>
      <c r="E21" s="36" t="s">
        <v>6</v>
      </c>
      <c r="F21" s="49"/>
      <c r="G21" s="49"/>
      <c r="H21" s="49"/>
      <c r="I21" s="49"/>
      <c r="J21" s="49"/>
      <c r="K21" s="49"/>
      <c r="L21" s="49"/>
    </row>
    <row r="22" spans="1:12" ht="15.75">
      <c r="A22" s="35"/>
      <c r="B22" s="35"/>
      <c r="C22" s="35"/>
      <c r="D22" s="36" t="s">
        <v>23</v>
      </c>
      <c r="E22" s="36" t="s">
        <v>23</v>
      </c>
      <c r="F22" s="36" t="s">
        <v>23</v>
      </c>
      <c r="G22" s="36" t="s">
        <v>23</v>
      </c>
      <c r="H22" s="36" t="s">
        <v>23</v>
      </c>
      <c r="I22" s="36" t="s">
        <v>23</v>
      </c>
      <c r="J22" s="36" t="s">
        <v>23</v>
      </c>
    </row>
    <row r="23" spans="1:12" ht="15.75">
      <c r="A23" s="35" t="s">
        <v>6</v>
      </c>
      <c r="B23" s="35" t="s">
        <v>27</v>
      </c>
      <c r="C23" s="35" t="s">
        <v>28</v>
      </c>
      <c r="D23" s="35" t="s">
        <v>26</v>
      </c>
      <c r="E23" s="37" t="s">
        <v>32</v>
      </c>
      <c r="F23" s="35" t="s">
        <v>46</v>
      </c>
      <c r="G23" s="37" t="s">
        <v>47</v>
      </c>
      <c r="H23" s="37" t="s">
        <v>48</v>
      </c>
      <c r="I23" s="37" t="s">
        <v>49</v>
      </c>
      <c r="J23" s="37" t="s">
        <v>99</v>
      </c>
    </row>
    <row r="24" spans="1:12" ht="16.5" thickBot="1">
      <c r="A24" s="38" t="s">
        <v>34</v>
      </c>
      <c r="B24" s="38" t="s">
        <v>35</v>
      </c>
      <c r="C24" s="38" t="s">
        <v>36</v>
      </c>
      <c r="D24" s="38" t="s">
        <v>51</v>
      </c>
      <c r="E24" s="38" t="s">
        <v>51</v>
      </c>
      <c r="F24" s="38" t="s">
        <v>51</v>
      </c>
      <c r="G24" s="38" t="s">
        <v>51</v>
      </c>
      <c r="H24" s="38" t="s">
        <v>52</v>
      </c>
      <c r="I24" s="38" t="s">
        <v>6</v>
      </c>
      <c r="J24" s="38" t="s">
        <v>6</v>
      </c>
    </row>
    <row r="25" spans="1:12" ht="15.75">
      <c r="A25" s="42" t="s">
        <v>41</v>
      </c>
      <c r="B25" s="42" t="s">
        <v>41</v>
      </c>
      <c r="C25" s="42" t="s">
        <v>41</v>
      </c>
      <c r="D25" s="42" t="s">
        <v>53</v>
      </c>
      <c r="E25" s="42" t="s">
        <v>42</v>
      </c>
      <c r="F25" s="42" t="s">
        <v>53</v>
      </c>
      <c r="G25" s="42" t="s">
        <v>42</v>
      </c>
      <c r="H25" s="42" t="s">
        <v>53</v>
      </c>
      <c r="I25" s="42" t="s">
        <v>53</v>
      </c>
      <c r="J25" s="42" t="s">
        <v>53</v>
      </c>
    </row>
    <row r="26" spans="1:12" ht="15.75">
      <c r="A26" s="35"/>
      <c r="B26" s="35"/>
      <c r="C26" s="35"/>
      <c r="D26" s="49"/>
      <c r="E26" s="49"/>
      <c r="G26" s="44"/>
      <c r="H26" s="44"/>
      <c r="I26" s="44"/>
      <c r="J26" s="44"/>
    </row>
    <row r="27" spans="1:12" ht="15.75">
      <c r="A27" s="119" t="str">
        <f>+A17</f>
        <v>Skywest Inc</v>
      </c>
      <c r="B27" s="120" t="str">
        <f>+B17</f>
        <v>SKYW</v>
      </c>
      <c r="C27" s="121" t="str">
        <f>+C17</f>
        <v>AirTrans</v>
      </c>
      <c r="D27" s="145">
        <f>+G17*(H17)</f>
        <v>2022810218.5</v>
      </c>
      <c r="E27" s="52">
        <f>(1/1)*I17</f>
        <v>0</v>
      </c>
      <c r="F27" s="146">
        <f>G41</f>
        <v>288486000</v>
      </c>
      <c r="G27" s="47">
        <f>(3244/3236)*J17</f>
        <v>3211616138.442522</v>
      </c>
      <c r="H27" s="47">
        <f t="shared" ref="H27" si="1">+D27+E27+F27+G27</f>
        <v>5522912356.942522</v>
      </c>
      <c r="I27" s="54">
        <f t="shared" ref="I27" si="2">+D27/H27</f>
        <v>0.36625788854991453</v>
      </c>
      <c r="J27" s="54">
        <f t="shared" ref="J27" si="3">(+F27+G27)/H27</f>
        <v>0.63374211145008552</v>
      </c>
    </row>
    <row r="28" spans="1:12">
      <c r="G28" s="3" t="s">
        <v>6</v>
      </c>
    </row>
    <row r="29" spans="1:12" ht="15.75">
      <c r="H29" s="58"/>
      <c r="I29" s="58"/>
      <c r="J29" s="58"/>
    </row>
    <row r="30" spans="1:12" ht="15.75">
      <c r="A30" s="22" t="s">
        <v>54</v>
      </c>
      <c r="H30" s="58" t="s">
        <v>57</v>
      </c>
      <c r="I30" s="54">
        <f>MEDIAN(I27:I27)</f>
        <v>0.36625788854991453</v>
      </c>
      <c r="J30" s="54">
        <f>MEDIAN(J27:J27)</f>
        <v>0.63374211145008552</v>
      </c>
    </row>
    <row r="31" spans="1:12" ht="15.75">
      <c r="A31" s="22" t="s">
        <v>56</v>
      </c>
      <c r="F31" s="131" t="s">
        <v>6</v>
      </c>
      <c r="G31" t="s">
        <v>6</v>
      </c>
      <c r="H31" s="58" t="s">
        <v>25</v>
      </c>
      <c r="I31" s="12">
        <f>AVERAGE(I27:I27)</f>
        <v>0.36625788854991453</v>
      </c>
      <c r="J31" s="12">
        <f>AVERAGE(J27:J27)</f>
        <v>0.63374211145008552</v>
      </c>
    </row>
    <row r="32" spans="1:12" ht="15.75">
      <c r="A32" s="22" t="s">
        <v>58</v>
      </c>
      <c r="C32" s="132"/>
      <c r="D32" s="133"/>
      <c r="H32" s="24"/>
      <c r="I32" s="24"/>
      <c r="J32" s="24"/>
    </row>
    <row r="33" spans="3:10" ht="21">
      <c r="F33" s="131" t="s">
        <v>6</v>
      </c>
      <c r="H33" s="61" t="s">
        <v>20</v>
      </c>
      <c r="I33" s="62">
        <v>0.37</v>
      </c>
      <c r="J33" s="62">
        <v>0.63</v>
      </c>
    </row>
    <row r="34" spans="3:10">
      <c r="C34" s="132"/>
    </row>
    <row r="35" spans="3:10" ht="15.75">
      <c r="C35" s="132" t="s">
        <v>6</v>
      </c>
      <c r="H35" t="s">
        <v>6</v>
      </c>
      <c r="I35" s="24"/>
      <c r="J35" s="24"/>
    </row>
    <row r="36" spans="3:10">
      <c r="C36" s="132"/>
    </row>
    <row r="37" spans="3:10">
      <c r="C37" s="132"/>
    </row>
    <row r="38" spans="3:10">
      <c r="C38" s="132" t="s">
        <v>6</v>
      </c>
      <c r="H38" t="s">
        <v>6</v>
      </c>
    </row>
    <row r="39" spans="3:10">
      <c r="C39" s="132"/>
    </row>
    <row r="40" spans="3:10">
      <c r="C40" s="132"/>
      <c r="D40" s="67" t="s">
        <v>60</v>
      </c>
      <c r="E40" s="134" t="s">
        <v>34</v>
      </c>
      <c r="F40" s="69" t="s">
        <v>61</v>
      </c>
      <c r="G40" s="69" t="s">
        <v>62</v>
      </c>
      <c r="H40" t="s">
        <v>6</v>
      </c>
    </row>
    <row r="41" spans="3:10" ht="18" customHeight="1">
      <c r="D41" s="108">
        <f>(94915+4619)*1000</f>
        <v>99534000</v>
      </c>
      <c r="E41" s="109" t="str">
        <f>+A27</f>
        <v>Skywest Inc</v>
      </c>
      <c r="F41" s="110">
        <v>282362000</v>
      </c>
      <c r="G41" s="110">
        <f>(82641+205845)*1000</f>
        <v>288486000</v>
      </c>
    </row>
    <row r="42" spans="3:10" ht="18" customHeight="1"/>
  </sheetData>
  <mergeCells count="2">
    <mergeCell ref="D12:E12"/>
    <mergeCell ref="D13:E13"/>
  </mergeCells>
  <pageMargins left="0.25" right="0.25" top="0.75" bottom="0.75" header="0.3" footer="0.3"/>
  <pageSetup scale="32" orientation="portrait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J17"/>
  <sheetViews>
    <sheetView zoomScaleNormal="100" workbookViewId="0">
      <selection activeCell="I13" sqref="I13"/>
    </sheetView>
  </sheetViews>
  <sheetFormatPr defaultRowHeight="15"/>
  <cols>
    <col min="1" max="1" width="39" customWidth="1"/>
    <col min="2" max="2" width="18.28515625" customWidth="1"/>
    <col min="3" max="3" width="12.28515625" bestFit="1" customWidth="1"/>
    <col min="4" max="4" width="16.28515625" customWidth="1"/>
    <col min="5" max="5" width="16.42578125" customWidth="1"/>
    <col min="6" max="6" width="13.7109375" bestFit="1" customWidth="1"/>
    <col min="7" max="7" width="10.5703125" customWidth="1"/>
    <col min="8" max="8" width="23.140625" customWidth="1"/>
    <col min="9" max="9" width="16.42578125" customWidth="1"/>
    <col min="10" max="10" width="14.5703125" customWidth="1"/>
  </cols>
  <sheetData>
    <row r="1" spans="1:10" ht="21">
      <c r="A1" s="23" t="s">
        <v>0</v>
      </c>
    </row>
    <row r="2" spans="1:10" ht="15.75">
      <c r="A2" s="24" t="s">
        <v>1</v>
      </c>
    </row>
    <row r="3" spans="1:10">
      <c r="A3" s="22" t="s">
        <v>2</v>
      </c>
    </row>
    <row r="4" spans="1:10">
      <c r="F4" s="4" t="s">
        <v>6</v>
      </c>
    </row>
    <row r="5" spans="1:10" ht="15.75">
      <c r="A5" s="76" t="s">
        <v>101</v>
      </c>
    </row>
    <row r="6" spans="1:10" ht="15.75" thickBot="1">
      <c r="A6" s="77" t="s">
        <v>6</v>
      </c>
      <c r="B6" s="77" t="s">
        <v>6</v>
      </c>
      <c r="C6" s="77" t="s">
        <v>6</v>
      </c>
      <c r="D6" s="77"/>
      <c r="E6" s="77"/>
      <c r="F6" s="77" t="s">
        <v>6</v>
      </c>
      <c r="G6" s="77" t="s">
        <v>6</v>
      </c>
      <c r="H6" s="77" t="s">
        <v>6</v>
      </c>
      <c r="I6" s="5"/>
    </row>
    <row r="7" spans="1:10">
      <c r="A7" s="8" t="s">
        <v>6</v>
      </c>
      <c r="B7" s="8" t="s">
        <v>27</v>
      </c>
      <c r="C7" s="8" t="s">
        <v>28</v>
      </c>
      <c r="D7" s="8" t="s">
        <v>63</v>
      </c>
      <c r="E7" s="8" t="s">
        <v>64</v>
      </c>
      <c r="F7" s="8" t="s">
        <v>65</v>
      </c>
      <c r="G7" s="8" t="s">
        <v>66</v>
      </c>
      <c r="H7" s="8" t="s">
        <v>102</v>
      </c>
      <c r="I7" s="8" t="s">
        <v>6</v>
      </c>
    </row>
    <row r="8" spans="1:10" ht="15.75" thickBot="1">
      <c r="A8" s="7" t="s">
        <v>34</v>
      </c>
      <c r="B8" s="7" t="s">
        <v>35</v>
      </c>
      <c r="C8" s="7" t="s">
        <v>36</v>
      </c>
      <c r="D8" s="7"/>
      <c r="E8" s="7" t="s">
        <v>69</v>
      </c>
      <c r="F8" s="7" t="s">
        <v>70</v>
      </c>
      <c r="G8" s="7" t="s">
        <v>71</v>
      </c>
      <c r="H8" s="7" t="s">
        <v>71</v>
      </c>
      <c r="I8" s="7" t="s">
        <v>72</v>
      </c>
    </row>
    <row r="9" spans="1:10">
      <c r="A9" s="9" t="s">
        <v>41</v>
      </c>
      <c r="B9" s="9" t="s">
        <v>41</v>
      </c>
      <c r="C9" s="9" t="s">
        <v>41</v>
      </c>
      <c r="D9" s="9" t="s">
        <v>41</v>
      </c>
      <c r="E9" s="9" t="s">
        <v>41</v>
      </c>
      <c r="F9" s="9" t="s">
        <v>41</v>
      </c>
      <c r="G9" s="9" t="s">
        <v>66</v>
      </c>
      <c r="H9" s="9" t="s">
        <v>68</v>
      </c>
      <c r="I9" s="9" t="s">
        <v>68</v>
      </c>
    </row>
    <row r="10" spans="1:10">
      <c r="A10" s="8"/>
      <c r="B10" s="8"/>
      <c r="C10" s="8"/>
      <c r="D10" s="8"/>
      <c r="E10" s="8"/>
      <c r="F10" s="8"/>
      <c r="G10" s="8"/>
      <c r="H10" s="8"/>
    </row>
    <row r="11" spans="1:10">
      <c r="A11" s="60" t="s">
        <v>113</v>
      </c>
      <c r="B11" s="147" t="s">
        <v>114</v>
      </c>
      <c r="C11" s="135" t="s">
        <v>74</v>
      </c>
      <c r="D11" s="98">
        <v>1.65</v>
      </c>
      <c r="E11" s="81">
        <v>0.24</v>
      </c>
      <c r="F11" s="135" t="s">
        <v>110</v>
      </c>
      <c r="G11" s="78" t="s">
        <v>6</v>
      </c>
      <c r="H11" s="149" t="s">
        <v>115</v>
      </c>
      <c r="I11" s="136">
        <v>3.2899999999999999E-2</v>
      </c>
    </row>
    <row r="12" spans="1:10" ht="15.75" thickBot="1">
      <c r="A12" s="83" t="s">
        <v>6</v>
      </c>
      <c r="B12" s="137" t="s">
        <v>6</v>
      </c>
      <c r="C12" s="101" t="s">
        <v>6</v>
      </c>
      <c r="D12" s="101" t="s">
        <v>6</v>
      </c>
      <c r="E12" s="103" t="s">
        <v>6</v>
      </c>
      <c r="F12" s="101" t="s">
        <v>6</v>
      </c>
      <c r="G12" s="101" t="s">
        <v>6</v>
      </c>
      <c r="H12" s="103" t="s">
        <v>6</v>
      </c>
      <c r="I12" s="82"/>
    </row>
    <row r="13" spans="1:10" ht="15.75" thickTop="1">
      <c r="C13" s="87"/>
      <c r="D13" s="87"/>
      <c r="E13" s="87"/>
      <c r="F13" s="135" t="s">
        <v>6</v>
      </c>
      <c r="G13" s="98"/>
      <c r="H13" s="3"/>
      <c r="I13" s="87"/>
    </row>
    <row r="14" spans="1:10">
      <c r="C14" s="87" t="s">
        <v>57</v>
      </c>
      <c r="D14" s="88">
        <f>MEDIAN(D11:D11)</f>
        <v>1.65</v>
      </c>
      <c r="E14" s="89">
        <f>MEDIAN(E11:E11)</f>
        <v>0.24</v>
      </c>
      <c r="F14" s="135" t="s">
        <v>105</v>
      </c>
      <c r="G14" s="98" t="s">
        <v>6</v>
      </c>
      <c r="H14" s="3" t="s">
        <v>106</v>
      </c>
      <c r="I14" s="89">
        <f>MEDIAN(I11:I11)</f>
        <v>3.2899999999999999E-2</v>
      </c>
    </row>
    <row r="15" spans="1:10">
      <c r="C15" s="87" t="s">
        <v>25</v>
      </c>
      <c r="D15" s="90">
        <f>AVERAGE(D11:D11)</f>
        <v>1.65</v>
      </c>
      <c r="E15" s="91">
        <f>AVERAGE(E11:E11)</f>
        <v>0.24</v>
      </c>
      <c r="I15" s="91">
        <f>AVERAGE(I11:I11)</f>
        <v>3.2899999999999999E-2</v>
      </c>
    </row>
    <row r="16" spans="1:10">
      <c r="J16" s="138"/>
    </row>
    <row r="17" spans="8:10" ht="21">
      <c r="H17" s="61" t="s">
        <v>78</v>
      </c>
      <c r="I17" s="150">
        <v>3.2899999999999999E-2</v>
      </c>
      <c r="J17" s="93" t="s">
        <v>6</v>
      </c>
    </row>
  </sheetData>
  <pageMargins left="0.25" right="0.25" top="0.75" bottom="0.75" header="0.3" footer="0.3"/>
  <pageSetup scale="66" orientation="portrait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L32"/>
  <sheetViews>
    <sheetView zoomScale="90" zoomScaleNormal="90" workbookViewId="0">
      <selection activeCell="B18" sqref="B18:F18"/>
    </sheetView>
  </sheetViews>
  <sheetFormatPr defaultRowHeight="15"/>
  <cols>
    <col min="1" max="1" width="43.7109375" customWidth="1"/>
    <col min="2" max="2" width="14.28515625" customWidth="1"/>
    <col min="3" max="3" width="16.85546875" customWidth="1"/>
    <col min="4" max="4" width="17.5703125" customWidth="1"/>
    <col min="5" max="5" width="15.42578125" customWidth="1"/>
    <col min="6" max="6" width="21.710937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D4" s="4" t="s">
        <v>6</v>
      </c>
    </row>
    <row r="5" spans="1:12" ht="15.75">
      <c r="A5" s="76" t="s">
        <v>101</v>
      </c>
    </row>
    <row r="6" spans="1:12" ht="15.75">
      <c r="A6" s="76"/>
    </row>
    <row r="7" spans="1:12" ht="18.75">
      <c r="A7" s="76"/>
      <c r="D7" s="95" t="s">
        <v>79</v>
      </c>
    </row>
    <row r="8" spans="1:12" ht="18.75">
      <c r="A8" s="76"/>
      <c r="D8" s="95" t="s">
        <v>80</v>
      </c>
    </row>
    <row r="9" spans="1:12" ht="15.75">
      <c r="A9" s="76"/>
    </row>
    <row r="10" spans="1:12" ht="15.75" thickBot="1">
      <c r="A10" s="77" t="s">
        <v>6</v>
      </c>
      <c r="B10" s="77" t="s">
        <v>6</v>
      </c>
      <c r="C10" s="77" t="s">
        <v>6</v>
      </c>
      <c r="D10" s="77" t="s">
        <v>6</v>
      </c>
      <c r="E10" s="77" t="s">
        <v>6</v>
      </c>
      <c r="F10" s="77" t="s">
        <v>6</v>
      </c>
    </row>
    <row r="11" spans="1:12">
      <c r="A11" s="8" t="s">
        <v>6</v>
      </c>
      <c r="B11" s="8" t="s">
        <v>27</v>
      </c>
      <c r="C11" s="8" t="s">
        <v>6</v>
      </c>
      <c r="D11" s="8" t="s">
        <v>81</v>
      </c>
      <c r="E11" s="8" t="s">
        <v>81</v>
      </c>
      <c r="F11" s="8" t="s">
        <v>82</v>
      </c>
    </row>
    <row r="12" spans="1:12" ht="15.75" thickBot="1">
      <c r="A12" s="7" t="s">
        <v>34</v>
      </c>
      <c r="B12" s="7" t="s">
        <v>35</v>
      </c>
      <c r="C12" s="7" t="s">
        <v>83</v>
      </c>
      <c r="D12" s="7" t="s">
        <v>84</v>
      </c>
      <c r="E12" s="7" t="s">
        <v>85</v>
      </c>
      <c r="F12" s="7" t="s">
        <v>86</v>
      </c>
    </row>
    <row r="13" spans="1:12">
      <c r="A13" s="9" t="s">
        <v>6</v>
      </c>
      <c r="B13" s="9" t="s">
        <v>6</v>
      </c>
      <c r="C13" s="9" t="s">
        <v>41</v>
      </c>
      <c r="D13" s="9" t="s">
        <v>41</v>
      </c>
      <c r="E13" s="9" t="s">
        <v>6</v>
      </c>
      <c r="F13" s="9" t="s">
        <v>6</v>
      </c>
    </row>
    <row r="14" spans="1:12">
      <c r="A14" s="8"/>
      <c r="B14" s="8"/>
      <c r="C14" s="8"/>
      <c r="D14" s="8"/>
      <c r="E14" s="8"/>
      <c r="F14" s="8"/>
    </row>
    <row r="15" spans="1:12">
      <c r="K15" s="73"/>
      <c r="L15" s="73"/>
    </row>
    <row r="16" spans="1:12">
      <c r="A16" s="151" t="s">
        <v>113</v>
      </c>
      <c r="B16" s="147" t="s">
        <v>114</v>
      </c>
      <c r="C16" s="147">
        <v>40.31</v>
      </c>
      <c r="D16" s="78">
        <v>9.35</v>
      </c>
      <c r="E16" s="78">
        <f t="shared" ref="E16" si="0">C16/D16</f>
        <v>4.3112299465240644</v>
      </c>
      <c r="F16" s="79">
        <f t="shared" ref="F16" si="1">1/E16</f>
        <v>0.23195236913917142</v>
      </c>
      <c r="K16" s="73"/>
      <c r="L16" s="73"/>
    </row>
    <row r="17" spans="1:6" ht="15.75" thickBot="1">
      <c r="A17" s="83" t="s">
        <v>6</v>
      </c>
      <c r="B17" s="137" t="s">
        <v>6</v>
      </c>
      <c r="C17" s="141" t="s">
        <v>6</v>
      </c>
      <c r="D17" s="142" t="s">
        <v>6</v>
      </c>
      <c r="E17" s="102" t="s">
        <v>6</v>
      </c>
      <c r="F17" s="143" t="s">
        <v>6</v>
      </c>
    </row>
    <row r="18" spans="1:6" ht="15.75" thickTop="1">
      <c r="B18" s="3"/>
      <c r="C18" s="87"/>
      <c r="D18" s="87"/>
      <c r="E18" s="87"/>
      <c r="F18" s="87"/>
    </row>
    <row r="19" spans="1:6">
      <c r="B19" s="3" t="s">
        <v>57</v>
      </c>
      <c r="C19" s="99">
        <f>MEDIAN(C16:C16)</f>
        <v>40.31</v>
      </c>
      <c r="D19" s="99">
        <f>MEDIAN(D16:D16)</f>
        <v>9.35</v>
      </c>
      <c r="E19" s="99">
        <f>MEDIAN(E16:E16)</f>
        <v>4.3112299465240644</v>
      </c>
      <c r="F19" s="100">
        <f>MEDIAN(F16:F16)</f>
        <v>0.23195236913917142</v>
      </c>
    </row>
    <row r="20" spans="1:6">
      <c r="B20" s="3" t="s">
        <v>25</v>
      </c>
      <c r="C20" s="99">
        <f>AVERAGE(C16:C16)</f>
        <v>40.31</v>
      </c>
      <c r="D20" s="99">
        <f>AVERAGE(D16:D16)</f>
        <v>9.35</v>
      </c>
      <c r="E20" s="99">
        <f>AVERAGE(E16:E16)</f>
        <v>4.3112299465240644</v>
      </c>
      <c r="F20" s="100">
        <f>AVERAGE(F16:F16)</f>
        <v>0.23195236913917142</v>
      </c>
    </row>
    <row r="21" spans="1:6">
      <c r="B21" s="3"/>
      <c r="C21" s="99"/>
      <c r="D21" s="99"/>
      <c r="E21" s="99"/>
      <c r="F21" s="91"/>
    </row>
    <row r="22" spans="1:6" ht="21">
      <c r="B22" s="3"/>
      <c r="C22" s="99"/>
      <c r="D22" s="99"/>
      <c r="E22" s="105" t="s">
        <v>20</v>
      </c>
      <c r="F22" s="93">
        <v>0.23200000000000001</v>
      </c>
    </row>
    <row r="23" spans="1:6">
      <c r="B23" s="3"/>
      <c r="C23" s="106"/>
      <c r="D23" s="106"/>
      <c r="E23" s="106"/>
      <c r="F23" s="107"/>
    </row>
    <row r="30" spans="1:6">
      <c r="E30" t="s">
        <v>6</v>
      </c>
    </row>
    <row r="32" spans="1:6">
      <c r="E32" t="s">
        <v>6</v>
      </c>
    </row>
  </sheetData>
  <pageMargins left="0.25" right="0.25" top="0.75" bottom="0.75" header="0.3" footer="0.3"/>
  <pageSetup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7"/>
  <sheetViews>
    <sheetView zoomScale="70" zoomScaleNormal="70" zoomScalePageLayoutView="70" workbookViewId="0">
      <pane xSplit="1" topLeftCell="B1" activePane="topRight" state="frozen"/>
      <selection activeCell="D9" sqref="D9"/>
      <selection pane="topRight" activeCell="F15" sqref="F15"/>
    </sheetView>
  </sheetViews>
  <sheetFormatPr defaultRowHeight="15"/>
  <cols>
    <col min="1" max="1" width="55.7109375" customWidth="1"/>
    <col min="2" max="2" width="22.85546875" customWidth="1"/>
    <col min="3" max="3" width="25.85546875" customWidth="1"/>
    <col min="4" max="4" width="27.42578125" customWidth="1"/>
    <col min="5" max="5" width="22.7109375" customWidth="1"/>
    <col min="6" max="6" width="25.28515625" customWidth="1"/>
    <col min="7" max="7" width="26.140625" customWidth="1"/>
    <col min="8" max="8" width="27.28515625" customWidth="1"/>
    <col min="9" max="9" width="29" customWidth="1"/>
    <col min="10" max="10" width="27.42578125" customWidth="1"/>
    <col min="11" max="11" width="29.42578125" customWidth="1"/>
    <col min="12" max="12" width="30.140625" bestFit="1" customWidth="1"/>
    <col min="13" max="13" width="10.5703125" customWidth="1"/>
    <col min="14" max="14" width="17.140625" customWidth="1"/>
  </cols>
  <sheetData>
    <row r="1" spans="1:11" ht="21">
      <c r="A1" s="23" t="s">
        <v>0</v>
      </c>
    </row>
    <row r="2" spans="1:11" ht="15.75">
      <c r="A2" s="24" t="s">
        <v>1</v>
      </c>
    </row>
    <row r="3" spans="1:11">
      <c r="A3" s="22" t="s">
        <v>2</v>
      </c>
    </row>
    <row r="4" spans="1:11">
      <c r="D4" s="4"/>
      <c r="E4" s="4"/>
      <c r="J4" t="s">
        <v>6</v>
      </c>
    </row>
    <row r="6" spans="1:11">
      <c r="A6" s="25" t="s">
        <v>21</v>
      </c>
      <c r="B6" s="26"/>
      <c r="C6" s="26"/>
      <c r="D6" s="26"/>
      <c r="F6" s="27"/>
      <c r="G6" s="28"/>
      <c r="H6" s="28"/>
      <c r="I6" s="29"/>
      <c r="J6" s="29"/>
      <c r="K6" s="29"/>
    </row>
    <row r="7" spans="1:11">
      <c r="A7" s="28"/>
      <c r="B7" s="28"/>
      <c r="C7" s="28"/>
      <c r="D7" s="28"/>
      <c r="E7" s="28"/>
      <c r="F7" s="28" t="s">
        <v>6</v>
      </c>
      <c r="G7" s="28"/>
      <c r="H7" s="28"/>
      <c r="I7" s="28"/>
      <c r="J7" s="28"/>
      <c r="K7" s="28"/>
    </row>
    <row r="8" spans="1:11" ht="15.75" thickBot="1">
      <c r="A8" s="28"/>
      <c r="B8" s="28"/>
      <c r="C8" s="28"/>
      <c r="D8" s="28"/>
      <c r="E8" s="28"/>
      <c r="F8" s="30" t="s">
        <v>6</v>
      </c>
      <c r="G8" s="28"/>
      <c r="H8" s="28"/>
      <c r="I8" s="28"/>
      <c r="J8" s="28"/>
      <c r="K8" s="28"/>
    </row>
    <row r="9" spans="1:11" ht="20.25">
      <c r="A9" s="31" t="s">
        <v>22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5.75" thickBot="1">
      <c r="A10" s="32" t="s">
        <v>6</v>
      </c>
      <c r="B10" s="33" t="s">
        <v>6</v>
      </c>
      <c r="C10" s="33" t="s">
        <v>6</v>
      </c>
      <c r="D10" s="33"/>
      <c r="E10" s="33"/>
      <c r="F10" s="33" t="s">
        <v>6</v>
      </c>
      <c r="G10" s="33" t="s">
        <v>6</v>
      </c>
      <c r="H10" s="34"/>
      <c r="I10" s="34"/>
      <c r="J10" s="34"/>
    </row>
    <row r="11" spans="1:11" ht="15.75">
      <c r="A11" s="35"/>
      <c r="B11" s="35"/>
      <c r="F11" s="35" t="s">
        <v>6</v>
      </c>
      <c r="G11" s="35"/>
      <c r="H11" s="36" t="s">
        <v>23</v>
      </c>
      <c r="I11" s="36" t="s">
        <v>6</v>
      </c>
      <c r="J11" s="36" t="s">
        <v>6</v>
      </c>
    </row>
    <row r="12" spans="1:11" ht="15.75">
      <c r="A12" s="35"/>
      <c r="B12" s="35"/>
      <c r="C12" s="35"/>
      <c r="D12" s="438" t="s">
        <v>24</v>
      </c>
      <c r="E12" s="439"/>
      <c r="F12" s="35" t="s">
        <v>25</v>
      </c>
      <c r="G12" s="35"/>
      <c r="H12" s="35" t="s">
        <v>26</v>
      </c>
      <c r="I12" s="35" t="s">
        <v>23</v>
      </c>
      <c r="J12" s="36" t="s">
        <v>23</v>
      </c>
    </row>
    <row r="13" spans="1:11" ht="15.75">
      <c r="A13" s="35" t="s">
        <v>6</v>
      </c>
      <c r="B13" s="35" t="s">
        <v>27</v>
      </c>
      <c r="C13" s="35" t="s">
        <v>28</v>
      </c>
      <c r="D13" s="438" t="s">
        <v>29</v>
      </c>
      <c r="E13" s="439"/>
      <c r="F13" s="36" t="s">
        <v>30</v>
      </c>
      <c r="G13" s="36" t="s">
        <v>23</v>
      </c>
      <c r="H13" s="35" t="s">
        <v>31</v>
      </c>
      <c r="I13" s="35" t="s">
        <v>32</v>
      </c>
      <c r="J13" s="37" t="s">
        <v>33</v>
      </c>
    </row>
    <row r="14" spans="1:11" ht="16.5" thickBot="1">
      <c r="A14" s="38" t="s">
        <v>34</v>
      </c>
      <c r="B14" s="38" t="s">
        <v>35</v>
      </c>
      <c r="C14" s="38" t="s">
        <v>36</v>
      </c>
      <c r="D14" s="39" t="s">
        <v>37</v>
      </c>
      <c r="E14" s="40" t="s">
        <v>38</v>
      </c>
      <c r="F14" s="38" t="s">
        <v>29</v>
      </c>
      <c r="G14" s="38" t="s">
        <v>29</v>
      </c>
      <c r="H14" s="41" t="s">
        <v>39</v>
      </c>
      <c r="I14" s="38" t="s">
        <v>40</v>
      </c>
      <c r="J14" s="38" t="s">
        <v>40</v>
      </c>
    </row>
    <row r="15" spans="1:11" ht="15.75">
      <c r="A15" s="42" t="s">
        <v>41</v>
      </c>
      <c r="B15" s="42" t="s">
        <v>41</v>
      </c>
      <c r="C15" s="42" t="s">
        <v>41</v>
      </c>
      <c r="D15" s="43" t="s">
        <v>42</v>
      </c>
      <c r="E15" s="43" t="s">
        <v>42</v>
      </c>
      <c r="F15" s="43"/>
      <c r="G15" s="42" t="s">
        <v>41</v>
      </c>
      <c r="H15" s="42" t="s">
        <v>42</v>
      </c>
      <c r="I15" s="42" t="s">
        <v>42</v>
      </c>
      <c r="J15" s="42" t="s">
        <v>42</v>
      </c>
    </row>
    <row r="16" spans="1:11" ht="15.75">
      <c r="A16" s="35"/>
      <c r="B16" s="35"/>
      <c r="C16" s="35"/>
      <c r="D16" s="35"/>
      <c r="E16" s="35"/>
      <c r="F16" s="35"/>
      <c r="G16" s="35"/>
      <c r="H16" s="35"/>
      <c r="I16" s="44"/>
      <c r="J16" s="44"/>
    </row>
    <row r="17" spans="1:11" ht="15.75">
      <c r="A17" s="157" t="s">
        <v>125</v>
      </c>
      <c r="B17" s="2" t="s">
        <v>126</v>
      </c>
      <c r="C17" s="2" t="s">
        <v>45</v>
      </c>
      <c r="D17" s="46">
        <v>31.5</v>
      </c>
      <c r="E17" s="45">
        <v>30.7</v>
      </c>
      <c r="F17" s="46">
        <f t="shared" ref="F17:F20" si="0">AVERAGE(D17:E17)</f>
        <v>31.1</v>
      </c>
      <c r="G17" s="46">
        <v>31.34</v>
      </c>
      <c r="H17" s="158">
        <v>59560036</v>
      </c>
      <c r="I17" s="47">
        <v>0</v>
      </c>
      <c r="J17" s="158">
        <f>(1479077)*1000</f>
        <v>1479077000</v>
      </c>
    </row>
    <row r="18" spans="1:11" ht="15.75">
      <c r="A18" s="159" t="s">
        <v>127</v>
      </c>
      <c r="B18" s="45" t="s">
        <v>128</v>
      </c>
      <c r="C18" s="45" t="s">
        <v>45</v>
      </c>
      <c r="D18" s="45">
        <v>54.89</v>
      </c>
      <c r="E18" s="45">
        <v>53.57</v>
      </c>
      <c r="F18" s="46">
        <f t="shared" si="0"/>
        <v>54.230000000000004</v>
      </c>
      <c r="G18" s="46">
        <v>54.54</v>
      </c>
      <c r="H18" s="47">
        <v>27517297</v>
      </c>
      <c r="I18" s="47">
        <v>0</v>
      </c>
      <c r="J18" s="47">
        <f>(298690+2020451)*1000</f>
        <v>2319141000</v>
      </c>
    </row>
    <row r="19" spans="1:11" ht="15.75">
      <c r="A19" s="24" t="s">
        <v>43</v>
      </c>
      <c r="B19" s="2" t="s">
        <v>44</v>
      </c>
      <c r="C19" s="2" t="s">
        <v>45</v>
      </c>
      <c r="D19" s="45">
        <v>260.45999999999998</v>
      </c>
      <c r="E19" s="45">
        <v>257.51</v>
      </c>
      <c r="F19" s="46">
        <f t="shared" si="0"/>
        <v>258.98500000000001</v>
      </c>
      <c r="G19" s="46">
        <v>259.63</v>
      </c>
      <c r="H19" s="47">
        <v>318000000</v>
      </c>
      <c r="I19" s="47">
        <v>0</v>
      </c>
      <c r="J19" s="47">
        <f>23221000000+97000000</f>
        <v>23318000000</v>
      </c>
    </row>
    <row r="20" spans="1:11" ht="15.75">
      <c r="A20" s="24" t="s">
        <v>89</v>
      </c>
      <c r="B20" s="2" t="s">
        <v>90</v>
      </c>
      <c r="C20" s="2" t="s">
        <v>45</v>
      </c>
      <c r="D20" s="45">
        <v>168.48</v>
      </c>
      <c r="E20" s="45">
        <v>165.44</v>
      </c>
      <c r="F20" s="46">
        <f t="shared" si="0"/>
        <v>166.95999999999998</v>
      </c>
      <c r="G20" s="46">
        <v>168.4</v>
      </c>
      <c r="H20" s="47">
        <f>(147+718-0.4)*1000000</f>
        <v>864600000</v>
      </c>
      <c r="I20" s="47">
        <v>0</v>
      </c>
      <c r="J20" s="47">
        <f>22031000000+2623000000</f>
        <v>24654000000</v>
      </c>
    </row>
    <row r="21" spans="1:11" ht="16.5" thickBot="1">
      <c r="A21" s="48"/>
      <c r="B21" s="48"/>
      <c r="C21" s="48"/>
      <c r="D21" s="48"/>
      <c r="E21" s="48"/>
      <c r="F21" s="48"/>
      <c r="G21" s="48"/>
      <c r="H21" s="48"/>
      <c r="I21" s="48"/>
      <c r="J21" s="48"/>
    </row>
    <row r="22" spans="1:11" ht="15.75">
      <c r="A22" s="49"/>
      <c r="B22" s="49"/>
      <c r="C22" s="49"/>
      <c r="D22" s="49"/>
      <c r="E22" s="49"/>
      <c r="F22" s="49"/>
      <c r="G22" s="49"/>
      <c r="H22" s="49"/>
      <c r="I22" s="49"/>
      <c r="J22" s="49"/>
    </row>
    <row r="23" spans="1:11" ht="15.75">
      <c r="A23" s="49"/>
      <c r="B23" s="49"/>
      <c r="C23" s="49"/>
      <c r="D23" s="49" t="s">
        <v>6</v>
      </c>
      <c r="E23" s="49"/>
      <c r="F23" s="49"/>
      <c r="G23" s="49"/>
      <c r="J23" s="50" t="s">
        <v>6</v>
      </c>
      <c r="K23" s="49"/>
    </row>
    <row r="24" spans="1:11" ht="15.75">
      <c r="A24" s="49"/>
      <c r="B24" s="49"/>
      <c r="C24" s="49"/>
      <c r="D24" s="49"/>
      <c r="E24" s="49"/>
      <c r="F24" s="49"/>
      <c r="G24" s="49"/>
      <c r="J24" s="49" t="s">
        <v>6</v>
      </c>
      <c r="K24" s="49" t="s">
        <v>6</v>
      </c>
    </row>
    <row r="25" spans="1:11" ht="15.7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6" spans="1:11" ht="15.75">
      <c r="A26" s="49"/>
      <c r="B26" s="49"/>
      <c r="C26" s="49"/>
      <c r="D26" s="49"/>
      <c r="E26" s="49"/>
      <c r="F26" s="49"/>
      <c r="G26" s="49"/>
      <c r="H26" s="49" t="s">
        <v>6</v>
      </c>
      <c r="I26" s="49"/>
      <c r="J26" s="49"/>
      <c r="K26" s="49" t="s">
        <v>6</v>
      </c>
    </row>
    <row r="27" spans="1:11" ht="15.75">
      <c r="A27" s="49"/>
      <c r="B27" s="49"/>
      <c r="C27" s="49"/>
      <c r="D27" s="49"/>
      <c r="E27" s="36" t="s">
        <v>6</v>
      </c>
      <c r="F27" s="49"/>
      <c r="G27" s="49"/>
      <c r="H27" s="49"/>
      <c r="I27" s="49"/>
      <c r="J27" s="49"/>
      <c r="K27" s="49"/>
    </row>
    <row r="28" spans="1:11" ht="15.75">
      <c r="A28" s="35"/>
      <c r="B28" s="35"/>
      <c r="C28" s="35"/>
      <c r="D28" s="36" t="s">
        <v>23</v>
      </c>
      <c r="E28" s="35" t="s">
        <v>23</v>
      </c>
      <c r="F28" s="36" t="s">
        <v>23</v>
      </c>
      <c r="G28" s="36" t="s">
        <v>23</v>
      </c>
      <c r="H28" s="36" t="s">
        <v>23</v>
      </c>
      <c r="I28" s="36" t="s">
        <v>23</v>
      </c>
      <c r="J28" s="36" t="s">
        <v>23</v>
      </c>
      <c r="K28" s="49"/>
    </row>
    <row r="29" spans="1:11" ht="15.75">
      <c r="A29" s="35" t="s">
        <v>6</v>
      </c>
      <c r="B29" s="35" t="s">
        <v>27</v>
      </c>
      <c r="C29" s="35" t="s">
        <v>28</v>
      </c>
      <c r="D29" s="35" t="s">
        <v>26</v>
      </c>
      <c r="E29" s="35" t="s">
        <v>32</v>
      </c>
      <c r="F29" s="35" t="s">
        <v>46</v>
      </c>
      <c r="G29" s="37" t="s">
        <v>47</v>
      </c>
      <c r="H29" s="37" t="s">
        <v>48</v>
      </c>
      <c r="I29" s="37" t="s">
        <v>49</v>
      </c>
      <c r="J29" s="37" t="s">
        <v>50</v>
      </c>
      <c r="K29" s="49"/>
    </row>
    <row r="30" spans="1:11" ht="16.5" thickBot="1">
      <c r="A30" s="38" t="s">
        <v>34</v>
      </c>
      <c r="B30" s="38" t="s">
        <v>35</v>
      </c>
      <c r="C30" s="38" t="s">
        <v>36</v>
      </c>
      <c r="D30" s="38" t="s">
        <v>51</v>
      </c>
      <c r="E30" s="38" t="s">
        <v>51</v>
      </c>
      <c r="F30" s="38" t="s">
        <v>51</v>
      </c>
      <c r="G30" s="38" t="s">
        <v>51</v>
      </c>
      <c r="H30" s="38" t="s">
        <v>52</v>
      </c>
      <c r="I30" s="38" t="s">
        <v>6</v>
      </c>
      <c r="J30" s="38" t="s">
        <v>6</v>
      </c>
      <c r="K30" s="49"/>
    </row>
    <row r="31" spans="1:11" ht="15.75">
      <c r="A31" s="42" t="s">
        <v>41</v>
      </c>
      <c r="B31" s="42" t="s">
        <v>41</v>
      </c>
      <c r="C31" s="42" t="s">
        <v>41</v>
      </c>
      <c r="D31" s="42" t="s">
        <v>53</v>
      </c>
      <c r="E31" s="42" t="s">
        <v>42</v>
      </c>
      <c r="F31" s="42" t="s">
        <v>42</v>
      </c>
      <c r="G31" s="42" t="s">
        <v>42</v>
      </c>
      <c r="H31" s="42" t="s">
        <v>53</v>
      </c>
      <c r="I31" s="42" t="s">
        <v>53</v>
      </c>
      <c r="J31" s="42" t="s">
        <v>53</v>
      </c>
      <c r="K31" s="49"/>
    </row>
    <row r="32" spans="1:11" ht="15.75">
      <c r="A32" s="35"/>
      <c r="B32" s="35"/>
      <c r="C32" s="35"/>
      <c r="D32" s="49"/>
      <c r="E32" s="49"/>
      <c r="F32" t="s">
        <v>6</v>
      </c>
      <c r="G32" t="s">
        <v>6</v>
      </c>
      <c r="H32" s="44"/>
      <c r="I32" s="44"/>
      <c r="J32" s="44"/>
      <c r="K32" s="49"/>
    </row>
    <row r="33" spans="1:14" ht="15.75">
      <c r="A33" s="157" t="str">
        <f t="shared" ref="A33:C36" si="1">+A17</f>
        <v>Air Transport Services Group</v>
      </c>
      <c r="B33" s="2" t="str">
        <f t="shared" si="1"/>
        <v>ATSG</v>
      </c>
      <c r="C33" s="2" t="str">
        <f t="shared" si="1"/>
        <v>Air Trans</v>
      </c>
      <c r="D33" s="52">
        <f>(+H17)*G17</f>
        <v>1866611528.24</v>
      </c>
      <c r="E33" s="160">
        <f>+K17</f>
        <v>0</v>
      </c>
      <c r="F33" s="52">
        <f>+E53</f>
        <v>68912000</v>
      </c>
      <c r="G33" s="47">
        <f>+J17*(1549.9/1479.1)</f>
        <v>1549875899.0602396</v>
      </c>
      <c r="H33" s="47">
        <f t="shared" ref="H33:H36" si="2">+D33+E33+F33+G33</f>
        <v>3485399427.3002396</v>
      </c>
      <c r="I33" s="161">
        <f>+D33/H33</f>
        <v>0.53555168271943543</v>
      </c>
      <c r="J33" s="54">
        <f t="shared" ref="J33:J36" si="3">(+E33+F33+G33)/H33</f>
        <v>0.46444831728056452</v>
      </c>
      <c r="K33" s="55" t="s">
        <v>6</v>
      </c>
    </row>
    <row r="34" spans="1:14" ht="15.75">
      <c r="A34" s="159" t="str">
        <f t="shared" si="1"/>
        <v>Atlas Air</v>
      </c>
      <c r="B34" s="45" t="str">
        <f t="shared" si="1"/>
        <v>AAWW</v>
      </c>
      <c r="C34" s="45" t="str">
        <f t="shared" si="1"/>
        <v>Air Trans</v>
      </c>
      <c r="D34" s="52">
        <f>(+H18)*G18</f>
        <v>1500793378.3799999</v>
      </c>
      <c r="E34" s="52">
        <f>+K18</f>
        <v>0</v>
      </c>
      <c r="F34" s="52">
        <f>+E54</f>
        <v>476582000</v>
      </c>
      <c r="G34" s="47">
        <f>+J18*(2502387/2299929)</f>
        <v>2523290192.6829047</v>
      </c>
      <c r="H34" s="47">
        <f t="shared" si="2"/>
        <v>4500665571.0629044</v>
      </c>
      <c r="I34" s="161">
        <f>+D34/H34</f>
        <v>0.33346031929796627</v>
      </c>
      <c r="J34" s="54">
        <f t="shared" si="3"/>
        <v>0.66653968070203373</v>
      </c>
      <c r="K34" s="55" t="s">
        <v>6</v>
      </c>
    </row>
    <row r="35" spans="1:14" ht="15.75">
      <c r="A35" s="24" t="str">
        <f t="shared" si="1"/>
        <v>FedEx Corp ***</v>
      </c>
      <c r="B35" s="2" t="str">
        <f t="shared" si="1"/>
        <v>FDX</v>
      </c>
      <c r="C35" s="2" t="str">
        <f t="shared" si="1"/>
        <v>Air Trans</v>
      </c>
      <c r="D35" s="145">
        <f>((+H19)*G19)-8703000000</f>
        <v>73859340000</v>
      </c>
      <c r="E35" s="52">
        <f>+K19</f>
        <v>0</v>
      </c>
      <c r="F35" s="52">
        <f>+E55</f>
        <v>15132000000</v>
      </c>
      <c r="G35" s="47">
        <f>+J19*(27200/22800)</f>
        <v>27817964912.280701</v>
      </c>
      <c r="H35" s="47">
        <f>+D35+E35+F35+G35</f>
        <v>116809304912.2807</v>
      </c>
      <c r="I35" s="54">
        <f>+D35/H35</f>
        <v>0.63230699005927249</v>
      </c>
      <c r="J35" s="54">
        <f t="shared" si="3"/>
        <v>0.36769300994072751</v>
      </c>
      <c r="K35" s="55" t="s">
        <v>6</v>
      </c>
    </row>
    <row r="36" spans="1:14" ht="15.75">
      <c r="A36" s="24" t="str">
        <f t="shared" si="1"/>
        <v xml:space="preserve">United Parcel Service </v>
      </c>
      <c r="B36" s="2" t="str">
        <f t="shared" si="1"/>
        <v>UPS</v>
      </c>
      <c r="C36" s="2" t="str">
        <f t="shared" si="1"/>
        <v>Air Trans</v>
      </c>
      <c r="D36" s="145">
        <f>(+H20)*G20</f>
        <v>145598640000</v>
      </c>
      <c r="E36" s="52">
        <f>+K20</f>
        <v>0</v>
      </c>
      <c r="F36" s="52">
        <f>+E56</f>
        <v>3100000000</v>
      </c>
      <c r="G36" s="47">
        <f>+J20*(28300/24654)</f>
        <v>28300000000</v>
      </c>
      <c r="H36" s="47">
        <f t="shared" si="2"/>
        <v>176998640000</v>
      </c>
      <c r="I36" s="54">
        <f>+D36/H36</f>
        <v>0.82259750696389533</v>
      </c>
      <c r="J36" s="54">
        <f t="shared" si="3"/>
        <v>0.1774024930361047</v>
      </c>
      <c r="K36" s="55" t="s">
        <v>6</v>
      </c>
    </row>
    <row r="37" spans="1:14" ht="15.75">
      <c r="A37" s="24"/>
      <c r="B37" s="2"/>
      <c r="C37" s="2"/>
      <c r="D37" s="51"/>
      <c r="E37" s="51"/>
      <c r="F37" t="s">
        <v>6</v>
      </c>
      <c r="G37" s="56"/>
      <c r="H37" s="56"/>
      <c r="I37" s="57"/>
      <c r="J37" s="57"/>
      <c r="K37" s="49"/>
    </row>
    <row r="38" spans="1:14" ht="16.5" thickBot="1">
      <c r="A38" s="48"/>
      <c r="B38" s="48"/>
      <c r="C38" s="48"/>
      <c r="D38" s="48"/>
      <c r="E38" s="48"/>
      <c r="F38" s="5"/>
      <c r="G38" s="48"/>
      <c r="H38" s="48"/>
      <c r="I38" s="48"/>
      <c r="J38" s="48"/>
      <c r="K38" s="49"/>
    </row>
    <row r="41" spans="1:14" ht="15.75">
      <c r="A41" s="22" t="s">
        <v>54</v>
      </c>
      <c r="H41" s="58" t="s">
        <v>55</v>
      </c>
      <c r="I41" s="162" t="s">
        <v>129</v>
      </c>
      <c r="J41" s="162" t="s">
        <v>130</v>
      </c>
    </row>
    <row r="42" spans="1:14" ht="15.75">
      <c r="A42" s="22" t="s">
        <v>56</v>
      </c>
      <c r="H42" s="58" t="s">
        <v>57</v>
      </c>
      <c r="I42" s="54">
        <f>MEDIAN(I33:I36)</f>
        <v>0.58392933638935396</v>
      </c>
      <c r="J42" s="54">
        <f>MEDIAN(J33:J36)</f>
        <v>0.41607066361064604</v>
      </c>
    </row>
    <row r="43" spans="1:14" ht="15.75">
      <c r="A43" s="60" t="s">
        <v>569</v>
      </c>
      <c r="G43" s="22" t="s">
        <v>6</v>
      </c>
      <c r="H43" s="58" t="s">
        <v>25</v>
      </c>
      <c r="I43" s="54">
        <f>AVERAGE(I33:I36)</f>
        <v>0.58097912476014235</v>
      </c>
      <c r="J43" s="54">
        <f>AVERAGE(J33:J36)</f>
        <v>0.41902087523985765</v>
      </c>
    </row>
    <row r="44" spans="1:14" ht="15.75">
      <c r="A44" s="22" t="s">
        <v>58</v>
      </c>
      <c r="H44" s="24"/>
      <c r="I44" s="24"/>
      <c r="J44" s="24"/>
    </row>
    <row r="45" spans="1:14" ht="21">
      <c r="A45" s="22" t="s">
        <v>59</v>
      </c>
      <c r="H45" s="61" t="s">
        <v>20</v>
      </c>
      <c r="I45" s="163">
        <v>0.57999999999999996</v>
      </c>
      <c r="J45" s="163">
        <v>0.42</v>
      </c>
      <c r="K45" s="63" t="s">
        <v>6</v>
      </c>
    </row>
    <row r="46" spans="1:14" ht="16.5" thickBot="1">
      <c r="A46" s="5"/>
      <c r="B46" s="5"/>
      <c r="C46" s="5"/>
      <c r="D46" s="5"/>
      <c r="E46" s="5"/>
      <c r="F46" s="5"/>
      <c r="G46" s="5"/>
      <c r="H46" s="5" t="s">
        <v>6</v>
      </c>
      <c r="I46" s="64"/>
      <c r="J46" s="64"/>
      <c r="K46" s="5"/>
      <c r="L46" s="5"/>
      <c r="M46" s="5"/>
      <c r="N46" s="5"/>
    </row>
    <row r="47" spans="1:14" ht="16.5" thickBot="1">
      <c r="H47" s="65" t="s">
        <v>6</v>
      </c>
      <c r="I47" s="66" t="s">
        <v>6</v>
      </c>
      <c r="J47" s="66" t="s">
        <v>6</v>
      </c>
      <c r="L47" t="s">
        <v>6</v>
      </c>
    </row>
    <row r="48" spans="1:14" ht="15.75">
      <c r="H48" s="164"/>
      <c r="I48" s="165">
        <v>0.53555168271943543</v>
      </c>
      <c r="J48" s="165">
        <v>0.46444831728056452</v>
      </c>
      <c r="K48" s="166"/>
    </row>
    <row r="49" spans="2:11" ht="15.75">
      <c r="H49" s="167"/>
      <c r="I49" s="168">
        <f>+I35</f>
        <v>0.63230699005927249</v>
      </c>
      <c r="J49" s="168">
        <f>+J35</f>
        <v>0.36769300994072751</v>
      </c>
      <c r="K49" s="169"/>
    </row>
    <row r="50" spans="2:11" ht="16.5" thickBot="1">
      <c r="H50" s="167"/>
      <c r="I50" s="170">
        <f>+I36</f>
        <v>0.82259750696389533</v>
      </c>
      <c r="J50" s="170">
        <f>+J36</f>
        <v>0.1774024930361047</v>
      </c>
      <c r="K50" s="169"/>
    </row>
    <row r="51" spans="2:11" ht="16.5" thickTop="1">
      <c r="H51" s="171" t="s">
        <v>57</v>
      </c>
      <c r="I51" s="168">
        <f>MEDIAN(I48:I50)</f>
        <v>0.63230699005927249</v>
      </c>
      <c r="J51" s="168">
        <f>MEDIAN(J48:J50)</f>
        <v>0.36769300994072751</v>
      </c>
      <c r="K51" s="169"/>
    </row>
    <row r="52" spans="2:11" ht="15.75">
      <c r="B52" s="67" t="s">
        <v>100</v>
      </c>
      <c r="C52" s="68" t="s">
        <v>34</v>
      </c>
      <c r="D52" s="69" t="s">
        <v>61</v>
      </c>
      <c r="E52" s="69" t="s">
        <v>62</v>
      </c>
      <c r="H52" s="171" t="s">
        <v>25</v>
      </c>
      <c r="I52" s="168">
        <f>AVERAGE(I48:I50)</f>
        <v>0.66348539324753442</v>
      </c>
      <c r="J52" s="168">
        <f>AVERAGE(J48:J50)</f>
        <v>0.33651460675246558</v>
      </c>
      <c r="K52" s="169"/>
    </row>
    <row r="53" spans="2:11" ht="21.75" thickBot="1">
      <c r="B53" s="172">
        <v>327170000</v>
      </c>
      <c r="C53" s="173" t="s">
        <v>131</v>
      </c>
      <c r="D53" s="174">
        <v>68824000</v>
      </c>
      <c r="E53" s="175">
        <f>(17784+51128)*1000</f>
        <v>68912000</v>
      </c>
      <c r="H53" s="176" t="s">
        <v>20</v>
      </c>
      <c r="I53" s="177">
        <v>0.63</v>
      </c>
      <c r="J53" s="177">
        <v>0.37</v>
      </c>
      <c r="K53" s="178" t="s">
        <v>132</v>
      </c>
    </row>
    <row r="54" spans="2:11" ht="15.75">
      <c r="B54" s="179">
        <v>96865000</v>
      </c>
      <c r="C54" s="180" t="str">
        <f>+A34</f>
        <v>Atlas Air</v>
      </c>
      <c r="D54" s="181">
        <v>255805000</v>
      </c>
      <c r="E54" s="181">
        <f>157732000+318850000</f>
        <v>476582000</v>
      </c>
    </row>
    <row r="55" spans="2:11" ht="16.5" thickBot="1">
      <c r="B55" s="179">
        <v>2875000000</v>
      </c>
      <c r="C55" s="182" t="str">
        <f>+A35</f>
        <v>FedEx Corp ***</v>
      </c>
      <c r="D55" s="181">
        <v>14845000000</v>
      </c>
      <c r="E55" s="181">
        <v>15132000000</v>
      </c>
    </row>
    <row r="56" spans="2:11" ht="15.75">
      <c r="B56" s="108">
        <v>959000000</v>
      </c>
      <c r="C56" s="109" t="str">
        <f>+A36</f>
        <v xml:space="preserve">United Parcel Service </v>
      </c>
      <c r="D56" s="110">
        <v>3073000000</v>
      </c>
      <c r="E56" s="110">
        <v>3100000000</v>
      </c>
      <c r="H56" s="164"/>
      <c r="I56" s="165" t="s">
        <v>6</v>
      </c>
      <c r="J56" s="165" t="s">
        <v>6</v>
      </c>
      <c r="K56" s="166"/>
    </row>
    <row r="57" spans="2:11" ht="15.75">
      <c r="H57" s="167"/>
      <c r="I57" s="168">
        <f>+I35</f>
        <v>0.63230699005927249</v>
      </c>
      <c r="J57" s="168">
        <f>+J35</f>
        <v>0.36769300994072751</v>
      </c>
      <c r="K57" s="169"/>
    </row>
    <row r="58" spans="2:11" ht="16.5" thickBot="1">
      <c r="H58" s="167"/>
      <c r="I58" s="170">
        <f>+I36</f>
        <v>0.82259750696389533</v>
      </c>
      <c r="J58" s="170">
        <f>+J36</f>
        <v>0.1774024930361047</v>
      </c>
      <c r="K58" s="169"/>
    </row>
    <row r="59" spans="2:11" ht="16.5" thickTop="1">
      <c r="D59" t="s">
        <v>6</v>
      </c>
      <c r="H59" s="171" t="s">
        <v>57</v>
      </c>
      <c r="I59" s="168">
        <f>MEDIAN(I56:I58)</f>
        <v>0.72745224851158397</v>
      </c>
      <c r="J59" s="168">
        <f>MEDIAN(J56:J58)</f>
        <v>0.27254775148841609</v>
      </c>
      <c r="K59" s="169"/>
    </row>
    <row r="60" spans="2:11" ht="15.75">
      <c r="H60" s="171" t="s">
        <v>25</v>
      </c>
      <c r="I60" s="168">
        <f>AVERAGE(I56:I58)</f>
        <v>0.72745224851158397</v>
      </c>
      <c r="J60" s="168">
        <f>AVERAGE(J56:J58)</f>
        <v>0.27254775148841609</v>
      </c>
      <c r="K60" s="169"/>
    </row>
    <row r="61" spans="2:11" ht="21.75" thickBot="1">
      <c r="H61" s="176" t="s">
        <v>20</v>
      </c>
      <c r="I61" s="177">
        <v>0.73</v>
      </c>
      <c r="J61" s="177">
        <v>0.27</v>
      </c>
      <c r="K61" s="178" t="s">
        <v>568</v>
      </c>
    </row>
    <row r="65" spans="3:4">
      <c r="C65" s="73" t="s">
        <v>6</v>
      </c>
    </row>
    <row r="66" spans="3:4" ht="15.75">
      <c r="C66" s="74" t="s">
        <v>6</v>
      </c>
    </row>
    <row r="67" spans="3:4">
      <c r="D67" s="75" t="s">
        <v>6</v>
      </c>
    </row>
  </sheetData>
  <mergeCells count="2">
    <mergeCell ref="D12:E12"/>
    <mergeCell ref="D13:E13"/>
  </mergeCells>
  <pageMargins left="0.25" right="0.25" top="0.75" bottom="0.75" header="0.3" footer="0.3"/>
  <pageSetup scale="38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G24"/>
  <sheetViews>
    <sheetView zoomScaleNormal="100" workbookViewId="0">
      <selection activeCell="F24" sqref="F24"/>
    </sheetView>
  </sheetViews>
  <sheetFormatPr defaultRowHeight="15"/>
  <cols>
    <col min="1" max="1" width="24.85546875" customWidth="1"/>
    <col min="2" max="2" width="13.28515625" bestFit="1" customWidth="1"/>
    <col min="3" max="3" width="28.5703125" customWidth="1"/>
    <col min="4" max="4" width="12" bestFit="1" customWidth="1"/>
    <col min="5" max="5" width="20.85546875" bestFit="1" customWidth="1"/>
    <col min="6" max="6" width="13" bestFit="1" customWidth="1"/>
  </cols>
  <sheetData>
    <row r="1" spans="1:7" ht="21">
      <c r="C1" s="1" t="s">
        <v>0</v>
      </c>
    </row>
    <row r="2" spans="1:7" ht="15.75">
      <c r="C2" s="2" t="s">
        <v>1</v>
      </c>
    </row>
    <row r="4" spans="1:7">
      <c r="C4" s="3" t="s">
        <v>2</v>
      </c>
    </row>
    <row r="5" spans="1:7">
      <c r="C5" s="3" t="s">
        <v>3</v>
      </c>
    </row>
    <row r="8" spans="1:7">
      <c r="D8" s="4"/>
    </row>
    <row r="10" spans="1:7" ht="15.75" thickBot="1">
      <c r="B10" s="5"/>
      <c r="C10" s="5"/>
      <c r="D10" s="5"/>
    </row>
    <row r="11" spans="1:7" ht="21">
      <c r="C11" s="6" t="s">
        <v>116</v>
      </c>
    </row>
    <row r="12" spans="1:7" ht="15.75" thickBot="1">
      <c r="B12" s="5"/>
      <c r="C12" s="7" t="s">
        <v>5</v>
      </c>
      <c r="D12" s="5"/>
    </row>
    <row r="13" spans="1:7" ht="15.75" thickBot="1">
      <c r="A13" s="5"/>
      <c r="B13" s="5"/>
      <c r="C13" s="7" t="s">
        <v>6</v>
      </c>
      <c r="D13" s="5"/>
      <c r="E13" s="5"/>
      <c r="F13" s="5"/>
      <c r="G13" s="5"/>
    </row>
    <row r="14" spans="1:7">
      <c r="A14" s="8" t="s">
        <v>7</v>
      </c>
      <c r="B14" s="8" t="s">
        <v>8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6</v>
      </c>
    </row>
    <row r="15" spans="1:7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  <c r="G15" s="7" t="s">
        <v>6</v>
      </c>
    </row>
    <row r="16" spans="1:7">
      <c r="A16" s="9" t="s">
        <v>6</v>
      </c>
      <c r="B16" s="9" t="s">
        <v>6</v>
      </c>
      <c r="C16" s="9" t="s">
        <v>6</v>
      </c>
      <c r="D16" s="9" t="s">
        <v>6</v>
      </c>
      <c r="E16" s="9" t="s">
        <v>6</v>
      </c>
      <c r="F16" s="9" t="s">
        <v>6</v>
      </c>
      <c r="G16" s="9" t="s">
        <v>6</v>
      </c>
    </row>
    <row r="17" spans="1:7">
      <c r="A17" s="8"/>
      <c r="B17" s="8"/>
      <c r="C17" s="8"/>
      <c r="D17" s="8"/>
      <c r="E17" s="8"/>
      <c r="F17" s="8"/>
      <c r="G17" s="8"/>
    </row>
    <row r="18" spans="1:7" ht="15.75">
      <c r="A18" s="2" t="s">
        <v>17</v>
      </c>
      <c r="B18" s="10">
        <v>0.2</v>
      </c>
      <c r="C18" s="11">
        <v>0.76219999999999999</v>
      </c>
      <c r="D18" s="2" t="s">
        <v>6</v>
      </c>
      <c r="E18" s="11">
        <f>+C18</f>
        <v>0.76219999999999999</v>
      </c>
      <c r="F18" s="12">
        <f>+E18*B18</f>
        <v>0.15244000000000002</v>
      </c>
      <c r="G18" s="13" t="s">
        <v>6</v>
      </c>
    </row>
    <row r="19" spans="1:7" ht="15.75">
      <c r="A19" s="2" t="s">
        <v>6</v>
      </c>
      <c r="B19" s="14" t="s">
        <v>6</v>
      </c>
      <c r="C19" s="2" t="s">
        <v>6</v>
      </c>
      <c r="D19" s="2" t="s">
        <v>6</v>
      </c>
      <c r="E19" s="15" t="s">
        <v>6</v>
      </c>
      <c r="F19" s="12" t="s">
        <v>6</v>
      </c>
      <c r="G19" s="13" t="s">
        <v>6</v>
      </c>
    </row>
    <row r="20" spans="1:7" ht="15.75">
      <c r="A20" s="2" t="s">
        <v>18</v>
      </c>
      <c r="B20" s="10">
        <v>0.8</v>
      </c>
      <c r="C20" s="10">
        <v>8.14E-2</v>
      </c>
      <c r="D20" s="116">
        <v>0.26</v>
      </c>
      <c r="E20" s="11">
        <f>+C20*(1-D20)</f>
        <v>6.0235999999999998E-2</v>
      </c>
      <c r="F20" s="12">
        <f>+B20*E20</f>
        <v>4.8188800000000004E-2</v>
      </c>
      <c r="G20" s="13" t="s">
        <v>6</v>
      </c>
    </row>
    <row r="21" spans="1:7" ht="16.5" thickBot="1">
      <c r="A21" s="17" t="s">
        <v>6</v>
      </c>
      <c r="B21" s="17" t="s">
        <v>6</v>
      </c>
      <c r="C21" s="17" t="s">
        <v>6</v>
      </c>
      <c r="D21" s="17" t="s">
        <v>6</v>
      </c>
      <c r="E21" s="18" t="s">
        <v>6</v>
      </c>
      <c r="F21" s="19" t="s">
        <v>6</v>
      </c>
      <c r="G21" s="20" t="s">
        <v>6</v>
      </c>
    </row>
    <row r="22" spans="1:7" ht="15.75">
      <c r="A22" s="2" t="s">
        <v>19</v>
      </c>
      <c r="B22" s="21">
        <f>+B18+B20</f>
        <v>1</v>
      </c>
      <c r="C22" s="2" t="s">
        <v>6</v>
      </c>
      <c r="D22" s="2" t="s">
        <v>6</v>
      </c>
      <c r="E22" s="15" t="s">
        <v>6</v>
      </c>
      <c r="F22" s="12">
        <f>+F18+F20</f>
        <v>0.20062880000000002</v>
      </c>
      <c r="G22" s="13" t="s">
        <v>6</v>
      </c>
    </row>
    <row r="23" spans="1:7">
      <c r="A23" s="22"/>
      <c r="B23" s="22"/>
      <c r="C23" s="22"/>
      <c r="D23" s="22"/>
      <c r="E23" s="22"/>
      <c r="F23" s="22"/>
      <c r="G23" s="22"/>
    </row>
    <row r="24" spans="1:7" ht="15.75">
      <c r="E24" s="15" t="s">
        <v>20</v>
      </c>
      <c r="F24" s="12">
        <v>0.2006</v>
      </c>
    </row>
  </sheetData>
  <pageMargins left="0.25" right="0.25" top="0.75" bottom="0.75" header="0.3" footer="0.3"/>
  <pageSetup scale="83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N41"/>
  <sheetViews>
    <sheetView zoomScale="70" zoomScaleNormal="70" zoomScalePageLayoutView="70" workbookViewId="0">
      <selection activeCell="F15" sqref="F15"/>
    </sheetView>
  </sheetViews>
  <sheetFormatPr defaultRowHeight="15"/>
  <cols>
    <col min="1" max="1" width="55.7109375" customWidth="1"/>
    <col min="2" max="2" width="10.85546875" bestFit="1" customWidth="1"/>
    <col min="3" max="3" width="19" customWidth="1"/>
    <col min="4" max="4" width="25.5703125" bestFit="1" customWidth="1"/>
    <col min="5" max="5" width="28.140625" customWidth="1"/>
    <col min="6" max="6" width="25.140625" customWidth="1"/>
    <col min="7" max="7" width="26.42578125" customWidth="1"/>
    <col min="8" max="8" width="25" customWidth="1"/>
    <col min="9" max="9" width="28" customWidth="1"/>
    <col min="10" max="10" width="26.28515625" customWidth="1"/>
    <col min="11" max="11" width="23.42578125" customWidth="1"/>
    <col min="12" max="12" width="28" customWidth="1"/>
    <col min="13" max="13" width="30.140625" bestFit="1" customWidth="1"/>
    <col min="14" max="14" width="9.14062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E4" s="4" t="s">
        <v>6</v>
      </c>
      <c r="K4" t="s">
        <v>6</v>
      </c>
    </row>
    <row r="6" spans="1:12">
      <c r="A6" s="25" t="s">
        <v>21</v>
      </c>
      <c r="B6" s="26"/>
      <c r="C6" s="26"/>
      <c r="D6" s="26"/>
      <c r="E6" s="26"/>
      <c r="F6" s="26"/>
      <c r="G6" s="27"/>
      <c r="H6" s="28"/>
      <c r="I6" s="28"/>
      <c r="J6" s="29"/>
      <c r="K6" s="29"/>
      <c r="L6" s="29"/>
    </row>
    <row r="7" spans="1:1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.7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20.25">
      <c r="A9" s="31" t="s">
        <v>94</v>
      </c>
      <c r="B9" s="28"/>
      <c r="C9" s="28"/>
      <c r="D9" s="28"/>
      <c r="E9" s="28"/>
      <c r="F9" s="28"/>
      <c r="G9" s="28"/>
      <c r="H9" s="28"/>
      <c r="I9" s="28"/>
      <c r="J9" s="28"/>
    </row>
    <row r="10" spans="1:12" ht="15.75" thickBot="1">
      <c r="A10" s="32" t="s">
        <v>6</v>
      </c>
      <c r="B10" s="33" t="s">
        <v>6</v>
      </c>
      <c r="C10" s="33" t="s">
        <v>6</v>
      </c>
      <c r="D10" s="33"/>
      <c r="E10" s="33"/>
      <c r="F10" s="33"/>
      <c r="G10" s="33" t="s">
        <v>6</v>
      </c>
      <c r="H10" s="34"/>
      <c r="I10" s="34"/>
      <c r="J10" s="34"/>
    </row>
    <row r="11" spans="1:12" ht="15.75">
      <c r="A11" s="117"/>
      <c r="B11" s="117"/>
      <c r="C11" s="117"/>
      <c r="F11" s="117"/>
      <c r="G11" s="117"/>
      <c r="H11" s="36" t="s">
        <v>23</v>
      </c>
      <c r="I11" s="36" t="s">
        <v>6</v>
      </c>
      <c r="J11" s="118"/>
    </row>
    <row r="12" spans="1:12" ht="15.75">
      <c r="A12" s="35"/>
      <c r="B12" s="35"/>
      <c r="C12" s="35"/>
      <c r="D12" s="440" t="s">
        <v>30</v>
      </c>
      <c r="E12" s="441"/>
      <c r="F12" s="40" t="s">
        <v>30</v>
      </c>
      <c r="G12" s="35"/>
      <c r="H12" s="35" t="s">
        <v>26</v>
      </c>
      <c r="I12" s="36" t="s">
        <v>23</v>
      </c>
      <c r="J12" s="36" t="s">
        <v>23</v>
      </c>
    </row>
    <row r="13" spans="1:12" ht="15.75">
      <c r="A13" s="35" t="s">
        <v>6</v>
      </c>
      <c r="B13" s="35" t="s">
        <v>27</v>
      </c>
      <c r="C13" s="35" t="s">
        <v>28</v>
      </c>
      <c r="D13" s="440" t="s">
        <v>29</v>
      </c>
      <c r="E13" s="441"/>
      <c r="F13" s="40" t="s">
        <v>25</v>
      </c>
      <c r="G13" s="36" t="s">
        <v>23</v>
      </c>
      <c r="H13" s="35" t="s">
        <v>31</v>
      </c>
      <c r="I13" s="37" t="s">
        <v>32</v>
      </c>
      <c r="J13" s="37" t="s">
        <v>33</v>
      </c>
    </row>
    <row r="14" spans="1:12" ht="16.5" thickBot="1">
      <c r="A14" s="38" t="s">
        <v>34</v>
      </c>
      <c r="B14" s="38" t="s">
        <v>35</v>
      </c>
      <c r="C14" s="38" t="s">
        <v>36</v>
      </c>
      <c r="D14" s="38" t="s">
        <v>37</v>
      </c>
      <c r="E14" s="38" t="s">
        <v>38</v>
      </c>
      <c r="F14" s="38" t="s">
        <v>29</v>
      </c>
      <c r="G14" s="38" t="s">
        <v>29</v>
      </c>
      <c r="H14" s="41" t="s">
        <v>39</v>
      </c>
      <c r="I14" s="38" t="s">
        <v>40</v>
      </c>
      <c r="J14" s="38" t="s">
        <v>40</v>
      </c>
    </row>
    <row r="15" spans="1:12" ht="15.75">
      <c r="A15" s="42" t="s">
        <v>41</v>
      </c>
      <c r="B15" s="42" t="s">
        <v>41</v>
      </c>
      <c r="C15" s="42" t="s">
        <v>41</v>
      </c>
      <c r="D15" s="42" t="s">
        <v>95</v>
      </c>
      <c r="E15" s="42" t="s">
        <v>95</v>
      </c>
      <c r="F15" s="42"/>
      <c r="G15" s="42" t="s">
        <v>95</v>
      </c>
      <c r="H15" s="42" t="s">
        <v>42</v>
      </c>
      <c r="I15" s="42" t="s">
        <v>42</v>
      </c>
      <c r="J15" s="42" t="s">
        <v>42</v>
      </c>
    </row>
    <row r="16" spans="1:12" ht="15.75">
      <c r="A16" s="35"/>
      <c r="B16" s="35"/>
      <c r="C16" s="35"/>
      <c r="D16" s="35"/>
      <c r="E16" s="35"/>
      <c r="F16" s="35"/>
      <c r="G16" s="35"/>
      <c r="H16" s="35"/>
      <c r="I16" s="44"/>
      <c r="J16" s="44"/>
    </row>
    <row r="17" spans="1:14" ht="15.75">
      <c r="A17" s="119" t="s">
        <v>117</v>
      </c>
      <c r="B17" s="120" t="s">
        <v>118</v>
      </c>
      <c r="C17" s="121" t="s">
        <v>98</v>
      </c>
      <c r="D17" s="45">
        <v>16.09</v>
      </c>
      <c r="E17" s="45">
        <v>15.63</v>
      </c>
      <c r="F17" s="46">
        <f t="shared" ref="F17" si="0">AVERAGE(D17,E17)</f>
        <v>15.86</v>
      </c>
      <c r="G17" s="45">
        <v>15.77</v>
      </c>
      <c r="H17" s="47">
        <v>621479522</v>
      </c>
      <c r="I17" s="47">
        <v>0</v>
      </c>
      <c r="J17" s="152">
        <f>29796000000+2797000000</f>
        <v>32593000000</v>
      </c>
      <c r="M17" s="153"/>
      <c r="N17" s="154"/>
    </row>
    <row r="18" spans="1:14" ht="16.5" thickBot="1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4" ht="15.75">
      <c r="A19" s="49"/>
      <c r="B19" s="49"/>
      <c r="C19" s="49"/>
      <c r="D19" s="49"/>
      <c r="E19" s="49"/>
      <c r="F19" s="49"/>
      <c r="G19" s="49"/>
      <c r="H19" s="49"/>
      <c r="I19" s="49"/>
      <c r="J19" s="49"/>
    </row>
    <row r="20" spans="1:14" ht="15.75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4" ht="15.75">
      <c r="A21" s="49"/>
      <c r="B21" s="49"/>
      <c r="C21" s="49"/>
      <c r="D21" s="49"/>
      <c r="E21" s="36" t="s">
        <v>6</v>
      </c>
      <c r="F21" s="49"/>
      <c r="G21" s="49"/>
      <c r="H21" s="49"/>
      <c r="I21" s="49"/>
      <c r="J21" s="49"/>
      <c r="K21" s="49"/>
      <c r="L21" s="49"/>
    </row>
    <row r="22" spans="1:14" ht="15.75">
      <c r="A22" s="35"/>
      <c r="B22" s="35"/>
      <c r="C22" s="35"/>
      <c r="D22" s="36" t="s">
        <v>23</v>
      </c>
      <c r="E22" s="36" t="s">
        <v>23</v>
      </c>
      <c r="F22" s="36" t="s">
        <v>23</v>
      </c>
      <c r="G22" s="36" t="s">
        <v>23</v>
      </c>
      <c r="H22" s="36" t="s">
        <v>23</v>
      </c>
      <c r="I22" s="36" t="s">
        <v>23</v>
      </c>
      <c r="J22" s="36" t="s">
        <v>23</v>
      </c>
    </row>
    <row r="23" spans="1:14" ht="15.75">
      <c r="A23" s="35" t="s">
        <v>6</v>
      </c>
      <c r="B23" s="35" t="s">
        <v>27</v>
      </c>
      <c r="C23" s="35" t="s">
        <v>28</v>
      </c>
      <c r="D23" s="35" t="s">
        <v>26</v>
      </c>
      <c r="E23" s="37" t="s">
        <v>32</v>
      </c>
      <c r="F23" s="35" t="s">
        <v>46</v>
      </c>
      <c r="G23" s="37" t="s">
        <v>47</v>
      </c>
      <c r="H23" s="37" t="s">
        <v>48</v>
      </c>
      <c r="I23" s="37" t="s">
        <v>49</v>
      </c>
      <c r="J23" s="37" t="s">
        <v>99</v>
      </c>
    </row>
    <row r="24" spans="1:14" ht="16.5" thickBot="1">
      <c r="A24" s="38" t="s">
        <v>34</v>
      </c>
      <c r="B24" s="38" t="s">
        <v>35</v>
      </c>
      <c r="C24" s="38" t="s">
        <v>36</v>
      </c>
      <c r="D24" s="38" t="s">
        <v>51</v>
      </c>
      <c r="E24" s="38" t="s">
        <v>51</v>
      </c>
      <c r="F24" s="38" t="s">
        <v>51</v>
      </c>
      <c r="G24" s="38" t="s">
        <v>51</v>
      </c>
      <c r="H24" s="38" t="s">
        <v>52</v>
      </c>
      <c r="I24" s="38" t="s">
        <v>6</v>
      </c>
      <c r="J24" s="38" t="s">
        <v>6</v>
      </c>
    </row>
    <row r="25" spans="1:14" ht="15.75">
      <c r="A25" s="42" t="s">
        <v>41</v>
      </c>
      <c r="B25" s="42" t="s">
        <v>41</v>
      </c>
      <c r="C25" s="42" t="s">
        <v>41</v>
      </c>
      <c r="D25" s="42" t="s">
        <v>53</v>
      </c>
      <c r="E25" s="42" t="s">
        <v>42</v>
      </c>
      <c r="F25" s="42" t="s">
        <v>53</v>
      </c>
      <c r="G25" s="42" t="s">
        <v>42</v>
      </c>
      <c r="H25" s="42" t="s">
        <v>53</v>
      </c>
      <c r="I25" s="42" t="s">
        <v>53</v>
      </c>
      <c r="J25" s="42" t="s">
        <v>53</v>
      </c>
    </row>
    <row r="26" spans="1:14" ht="15.75">
      <c r="A26" s="35"/>
      <c r="B26" s="35"/>
      <c r="C26" s="35"/>
      <c r="D26" s="49"/>
      <c r="E26" s="49"/>
      <c r="G26" s="44"/>
      <c r="H26" s="44"/>
      <c r="I26" s="44"/>
      <c r="J26" s="44"/>
    </row>
    <row r="27" spans="1:14" ht="15.75">
      <c r="A27" s="119" t="str">
        <f>+A17</f>
        <v>American Airlines Group</v>
      </c>
      <c r="B27" s="120" t="str">
        <f>+B17</f>
        <v>AAL</v>
      </c>
      <c r="C27" s="121" t="str">
        <f>+C17</f>
        <v>Airtrans</v>
      </c>
      <c r="D27" s="145">
        <f>+G17*(H17)</f>
        <v>9800732061.9400005</v>
      </c>
      <c r="E27" s="52">
        <f>(1/1)*I17</f>
        <v>0</v>
      </c>
      <c r="F27" s="146">
        <f>G41</f>
        <v>8428000000</v>
      </c>
      <c r="G27" s="47">
        <f>(30454/32021)*J17</f>
        <v>30998008244.589489</v>
      </c>
      <c r="H27" s="47">
        <f t="shared" ref="H27" si="1">+D27+E27+F27+G27</f>
        <v>49226740306.529495</v>
      </c>
      <c r="I27" s="54">
        <f t="shared" ref="I27" si="2">+D27/H27</f>
        <v>0.19909366334053241</v>
      </c>
      <c r="J27" s="54">
        <f t="shared" ref="J27" si="3">(+F27+G27)/H27</f>
        <v>0.80090633665946753</v>
      </c>
    </row>
    <row r="28" spans="1:14">
      <c r="G28" s="3" t="s">
        <v>6</v>
      </c>
    </row>
    <row r="29" spans="1:14" ht="15.75">
      <c r="H29" s="58"/>
      <c r="I29" s="58"/>
      <c r="J29" s="58"/>
    </row>
    <row r="30" spans="1:14" ht="15.75">
      <c r="A30" s="22" t="s">
        <v>54</v>
      </c>
      <c r="H30" s="58" t="s">
        <v>57</v>
      </c>
      <c r="I30" s="54">
        <f>MEDIAN(I27:I27)</f>
        <v>0.19909366334053241</v>
      </c>
      <c r="J30" s="54">
        <f>MEDIAN(J27:J27)</f>
        <v>0.80090633665946753</v>
      </c>
    </row>
    <row r="31" spans="1:14" ht="15.75">
      <c r="A31" s="22" t="s">
        <v>56</v>
      </c>
      <c r="F31" s="131" t="s">
        <v>6</v>
      </c>
      <c r="G31" t="s">
        <v>6</v>
      </c>
      <c r="H31" s="58" t="s">
        <v>25</v>
      </c>
      <c r="I31" s="12">
        <f>AVERAGE(I27:I27)</f>
        <v>0.19909366334053241</v>
      </c>
      <c r="J31" s="12">
        <f>AVERAGE(J27:J27)</f>
        <v>0.80090633665946753</v>
      </c>
    </row>
    <row r="32" spans="1:14" ht="15.75">
      <c r="A32" s="22" t="s">
        <v>58</v>
      </c>
      <c r="C32" s="132"/>
      <c r="D32" s="133"/>
      <c r="H32" s="24"/>
      <c r="I32" s="24"/>
      <c r="J32" s="24"/>
    </row>
    <row r="33" spans="3:10" ht="21">
      <c r="F33" s="131" t="s">
        <v>6</v>
      </c>
      <c r="H33" s="61" t="s">
        <v>20</v>
      </c>
      <c r="I33" s="62">
        <v>0.2</v>
      </c>
      <c r="J33" s="62">
        <v>0.8</v>
      </c>
    </row>
    <row r="34" spans="3:10">
      <c r="C34" s="132"/>
    </row>
    <row r="35" spans="3:10" ht="15.75">
      <c r="C35" s="132" t="s">
        <v>6</v>
      </c>
      <c r="H35" t="s">
        <v>6</v>
      </c>
      <c r="I35" s="24"/>
      <c r="J35" s="24"/>
    </row>
    <row r="36" spans="3:10">
      <c r="C36" s="132"/>
    </row>
    <row r="37" spans="3:10">
      <c r="C37" s="132"/>
    </row>
    <row r="38" spans="3:10">
      <c r="C38" s="132" t="s">
        <v>6</v>
      </c>
      <c r="H38" t="s">
        <v>6</v>
      </c>
    </row>
    <row r="39" spans="3:10">
      <c r="C39" s="132"/>
    </row>
    <row r="40" spans="3:10">
      <c r="C40" s="132"/>
      <c r="D40" s="67" t="s">
        <v>60</v>
      </c>
      <c r="E40" s="134" t="s">
        <v>34</v>
      </c>
      <c r="F40" s="69" t="s">
        <v>61</v>
      </c>
      <c r="G40" s="69" t="s">
        <v>62</v>
      </c>
      <c r="H40" t="s">
        <v>6</v>
      </c>
    </row>
    <row r="41" spans="3:10" ht="15.75">
      <c r="C41" s="132"/>
      <c r="D41" s="70">
        <v>4585000000</v>
      </c>
      <c r="E41" s="71" t="str">
        <f>+A27</f>
        <v>American Airlines Group</v>
      </c>
      <c r="F41" s="72">
        <v>8039000000</v>
      </c>
      <c r="G41" s="72">
        <f>(1651+6777)*1000000</f>
        <v>8428000000</v>
      </c>
    </row>
  </sheetData>
  <mergeCells count="2">
    <mergeCell ref="D12:E12"/>
    <mergeCell ref="D13:E13"/>
  </mergeCells>
  <pageMargins left="0.25" right="0.25" top="0.75" bottom="0.75" header="0.3" footer="0.3"/>
  <pageSetup scale="32" orientation="portrait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J17"/>
  <sheetViews>
    <sheetView zoomScaleNormal="100" workbookViewId="0">
      <selection activeCell="C13" sqref="C13"/>
    </sheetView>
  </sheetViews>
  <sheetFormatPr defaultRowHeight="15"/>
  <cols>
    <col min="1" max="1" width="39" customWidth="1"/>
    <col min="2" max="2" width="18.28515625" customWidth="1"/>
    <col min="3" max="3" width="12.28515625" bestFit="1" customWidth="1"/>
    <col min="4" max="4" width="16.28515625" customWidth="1"/>
    <col min="5" max="5" width="16.42578125" customWidth="1"/>
    <col min="6" max="6" width="13.7109375" bestFit="1" customWidth="1"/>
    <col min="7" max="7" width="10.5703125" customWidth="1"/>
    <col min="8" max="8" width="23.140625" customWidth="1"/>
    <col min="9" max="9" width="16.42578125" customWidth="1"/>
    <col min="10" max="10" width="14.5703125" customWidth="1"/>
  </cols>
  <sheetData>
    <row r="1" spans="1:10" ht="21">
      <c r="A1" s="23" t="s">
        <v>0</v>
      </c>
    </row>
    <row r="2" spans="1:10" ht="15.75">
      <c r="A2" s="24" t="s">
        <v>1</v>
      </c>
    </row>
    <row r="3" spans="1:10">
      <c r="A3" s="22" t="s">
        <v>2</v>
      </c>
    </row>
    <row r="4" spans="1:10">
      <c r="F4" s="4" t="s">
        <v>6</v>
      </c>
    </row>
    <row r="5" spans="1:10" ht="15.75">
      <c r="A5" s="76" t="s">
        <v>101</v>
      </c>
    </row>
    <row r="6" spans="1:10" ht="15.75" thickBot="1">
      <c r="A6" s="77" t="s">
        <v>6</v>
      </c>
      <c r="B6" s="77" t="s">
        <v>6</v>
      </c>
      <c r="C6" s="77" t="s">
        <v>6</v>
      </c>
      <c r="D6" s="77"/>
      <c r="E6" s="77"/>
      <c r="F6" s="77" t="s">
        <v>6</v>
      </c>
      <c r="G6" s="77" t="s">
        <v>6</v>
      </c>
      <c r="H6" s="77" t="s">
        <v>6</v>
      </c>
      <c r="I6" s="5"/>
    </row>
    <row r="7" spans="1:10">
      <c r="A7" s="8" t="s">
        <v>6</v>
      </c>
      <c r="B7" s="8" t="s">
        <v>27</v>
      </c>
      <c r="C7" s="8" t="s">
        <v>28</v>
      </c>
      <c r="D7" s="8" t="s">
        <v>63</v>
      </c>
      <c r="E7" s="8" t="s">
        <v>64</v>
      </c>
      <c r="F7" s="8" t="s">
        <v>65</v>
      </c>
      <c r="G7" s="8" t="s">
        <v>66</v>
      </c>
      <c r="H7" s="8" t="s">
        <v>102</v>
      </c>
      <c r="I7" s="8" t="s">
        <v>6</v>
      </c>
    </row>
    <row r="8" spans="1:10" ht="15.75" thickBot="1">
      <c r="A8" s="7" t="s">
        <v>34</v>
      </c>
      <c r="B8" s="7" t="s">
        <v>35</v>
      </c>
      <c r="C8" s="7" t="s">
        <v>36</v>
      </c>
      <c r="D8" s="7"/>
      <c r="E8" s="7" t="s">
        <v>69</v>
      </c>
      <c r="F8" s="7" t="s">
        <v>70</v>
      </c>
      <c r="G8" s="7" t="s">
        <v>71</v>
      </c>
      <c r="H8" s="7" t="s">
        <v>71</v>
      </c>
      <c r="I8" s="7" t="s">
        <v>72</v>
      </c>
    </row>
    <row r="9" spans="1:10">
      <c r="A9" s="9" t="s">
        <v>41</v>
      </c>
      <c r="B9" s="9" t="s">
        <v>41</v>
      </c>
      <c r="C9" s="9" t="s">
        <v>41</v>
      </c>
      <c r="D9" s="9" t="s">
        <v>41</v>
      </c>
      <c r="E9" s="9" t="s">
        <v>41</v>
      </c>
      <c r="F9" s="9" t="s">
        <v>41</v>
      </c>
      <c r="G9" s="9" t="s">
        <v>66</v>
      </c>
      <c r="H9" s="9" t="s">
        <v>68</v>
      </c>
      <c r="I9" s="9" t="s">
        <v>68</v>
      </c>
    </row>
    <row r="10" spans="1:10">
      <c r="A10" s="8"/>
      <c r="B10" s="8"/>
      <c r="C10" s="8"/>
      <c r="D10" s="8"/>
      <c r="E10" s="8"/>
      <c r="F10" s="8"/>
      <c r="G10" s="8"/>
      <c r="H10" s="8"/>
    </row>
    <row r="11" spans="1:10">
      <c r="A11" s="119" t="s">
        <v>119</v>
      </c>
      <c r="B11" s="120" t="s">
        <v>118</v>
      </c>
      <c r="C11" s="3" t="s">
        <v>74</v>
      </c>
      <c r="D11" s="98">
        <v>1.65</v>
      </c>
      <c r="E11" s="81">
        <v>0</v>
      </c>
      <c r="F11" s="135" t="s">
        <v>120</v>
      </c>
      <c r="G11" s="78" t="s">
        <v>558</v>
      </c>
      <c r="H11" s="79" t="s">
        <v>559</v>
      </c>
      <c r="I11" s="136">
        <v>8.14E-2</v>
      </c>
    </row>
    <row r="12" spans="1:10" ht="15.75" thickBot="1">
      <c r="A12" s="83" t="s">
        <v>6</v>
      </c>
      <c r="B12" s="137" t="s">
        <v>6</v>
      </c>
      <c r="C12" s="101" t="s">
        <v>6</v>
      </c>
      <c r="D12" s="101" t="s">
        <v>6</v>
      </c>
      <c r="E12" s="103" t="s">
        <v>6</v>
      </c>
      <c r="F12" s="101" t="s">
        <v>6</v>
      </c>
      <c r="G12" s="101" t="s">
        <v>6</v>
      </c>
      <c r="H12" s="103" t="s">
        <v>6</v>
      </c>
      <c r="I12" s="82"/>
    </row>
    <row r="13" spans="1:10" ht="15.75" thickTop="1">
      <c r="C13" s="87"/>
      <c r="D13" s="87"/>
      <c r="E13" s="87"/>
      <c r="F13" s="135" t="s">
        <v>6</v>
      </c>
      <c r="G13" s="98"/>
      <c r="H13" s="3"/>
      <c r="I13" s="87"/>
    </row>
    <row r="14" spans="1:10">
      <c r="C14" s="87" t="s">
        <v>57</v>
      </c>
      <c r="D14" s="88">
        <f>MEDIAN(D11:D11)</f>
        <v>1.65</v>
      </c>
      <c r="E14" s="89">
        <f>MEDIAN(E11:E11)</f>
        <v>0</v>
      </c>
      <c r="F14" s="135" t="s">
        <v>105</v>
      </c>
      <c r="G14" s="98" t="s">
        <v>6</v>
      </c>
      <c r="H14" s="3" t="s">
        <v>106</v>
      </c>
      <c r="I14" s="89">
        <f>MEDIAN(I11:I11)</f>
        <v>8.14E-2</v>
      </c>
    </row>
    <row r="15" spans="1:10">
      <c r="C15" s="87" t="s">
        <v>25</v>
      </c>
      <c r="D15" s="90">
        <f>AVERAGE(D11:D11)</f>
        <v>1.65</v>
      </c>
      <c r="E15" s="91">
        <f>AVERAGE(E11:E11)</f>
        <v>0</v>
      </c>
      <c r="I15" s="91">
        <f>AVERAGE(I11:I11)</f>
        <v>8.14E-2</v>
      </c>
    </row>
    <row r="16" spans="1:10">
      <c r="J16" s="138"/>
    </row>
    <row r="17" spans="8:10" ht="21">
      <c r="H17" s="61" t="s">
        <v>78</v>
      </c>
      <c r="I17" s="93">
        <v>8.14E-2</v>
      </c>
      <c r="J17" s="93" t="s">
        <v>6</v>
      </c>
    </row>
  </sheetData>
  <pageMargins left="0.25" right="0.25" top="0.75" bottom="0.75" header="0.3" footer="0.3"/>
  <pageSetup scale="66" orientation="portrait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L32"/>
  <sheetViews>
    <sheetView zoomScale="90" zoomScaleNormal="90" workbookViewId="0">
      <selection activeCell="F18" sqref="F18"/>
    </sheetView>
  </sheetViews>
  <sheetFormatPr defaultRowHeight="15"/>
  <cols>
    <col min="1" max="1" width="43.7109375" customWidth="1"/>
    <col min="2" max="2" width="14.28515625" customWidth="1"/>
    <col min="3" max="3" width="16.85546875" customWidth="1"/>
    <col min="4" max="4" width="17.5703125" customWidth="1"/>
    <col min="5" max="5" width="15.42578125" customWidth="1"/>
    <col min="6" max="6" width="21.710937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D4" s="4" t="s">
        <v>6</v>
      </c>
    </row>
    <row r="5" spans="1:12" ht="15.75">
      <c r="A5" s="76" t="s">
        <v>101</v>
      </c>
    </row>
    <row r="6" spans="1:12" ht="15.75">
      <c r="A6" s="76"/>
    </row>
    <row r="7" spans="1:12" ht="18.75">
      <c r="A7" s="76"/>
      <c r="D7" s="95" t="s">
        <v>79</v>
      </c>
    </row>
    <row r="8" spans="1:12" ht="18.75">
      <c r="A8" s="76"/>
      <c r="D8" s="95" t="s">
        <v>80</v>
      </c>
    </row>
    <row r="9" spans="1:12" ht="15.75">
      <c r="A9" s="76"/>
    </row>
    <row r="10" spans="1:12" ht="15.75" thickBot="1">
      <c r="A10" s="77" t="s">
        <v>6</v>
      </c>
      <c r="B10" s="77" t="s">
        <v>6</v>
      </c>
      <c r="C10" s="77" t="s">
        <v>6</v>
      </c>
      <c r="D10" s="77" t="s">
        <v>6</v>
      </c>
      <c r="E10" s="77" t="s">
        <v>6</v>
      </c>
      <c r="F10" s="77" t="s">
        <v>6</v>
      </c>
    </row>
    <row r="11" spans="1:12">
      <c r="A11" s="8" t="s">
        <v>6</v>
      </c>
      <c r="B11" s="8" t="s">
        <v>27</v>
      </c>
      <c r="C11" s="8" t="s">
        <v>6</v>
      </c>
      <c r="D11" s="8" t="s">
        <v>81</v>
      </c>
      <c r="E11" s="8" t="s">
        <v>81</v>
      </c>
      <c r="F11" s="8" t="s">
        <v>82</v>
      </c>
    </row>
    <row r="12" spans="1:12" ht="15.75" thickBot="1">
      <c r="A12" s="7" t="s">
        <v>34</v>
      </c>
      <c r="B12" s="7" t="s">
        <v>35</v>
      </c>
      <c r="C12" s="7" t="s">
        <v>83</v>
      </c>
      <c r="D12" s="7" t="s">
        <v>84</v>
      </c>
      <c r="E12" s="7" t="s">
        <v>85</v>
      </c>
      <c r="F12" s="7" t="s">
        <v>86</v>
      </c>
    </row>
    <row r="13" spans="1:12">
      <c r="A13" s="9" t="s">
        <v>6</v>
      </c>
      <c r="B13" s="9" t="s">
        <v>6</v>
      </c>
      <c r="C13" s="9" t="s">
        <v>41</v>
      </c>
      <c r="D13" s="9" t="s">
        <v>41</v>
      </c>
      <c r="E13" s="9" t="s">
        <v>6</v>
      </c>
      <c r="F13" s="9" t="s">
        <v>6</v>
      </c>
    </row>
    <row r="14" spans="1:12">
      <c r="A14" s="8"/>
      <c r="B14" s="8"/>
      <c r="C14" s="8"/>
      <c r="D14" s="8"/>
      <c r="E14" s="8"/>
      <c r="F14" s="8"/>
    </row>
    <row r="15" spans="1:12">
      <c r="K15" s="73"/>
      <c r="L15" s="73"/>
    </row>
    <row r="16" spans="1:12">
      <c r="A16" s="22" t="s">
        <v>119</v>
      </c>
      <c r="B16" s="120" t="s">
        <v>118</v>
      </c>
      <c r="C16" s="147">
        <v>15.77</v>
      </c>
      <c r="D16" s="78">
        <v>12.02</v>
      </c>
      <c r="E16" s="140">
        <f>C16/D16</f>
        <v>1.3119800332778702</v>
      </c>
      <c r="F16" s="136">
        <f>1/E16</f>
        <v>0.76220672162333547</v>
      </c>
      <c r="K16" s="73"/>
      <c r="L16" s="73"/>
    </row>
    <row r="17" spans="1:6" ht="15.75" thickBot="1">
      <c r="A17" s="83" t="s">
        <v>6</v>
      </c>
      <c r="B17" s="137" t="s">
        <v>6</v>
      </c>
      <c r="C17" s="141" t="s">
        <v>6</v>
      </c>
      <c r="D17" s="142" t="s">
        <v>6</v>
      </c>
      <c r="E17" s="102" t="s">
        <v>6</v>
      </c>
      <c r="F17" s="143" t="s">
        <v>6</v>
      </c>
    </row>
    <row r="18" spans="1:6" ht="15.75" thickTop="1">
      <c r="B18" s="3"/>
      <c r="C18" s="87"/>
      <c r="D18" s="87"/>
      <c r="E18" s="87"/>
      <c r="F18" s="87"/>
    </row>
    <row r="19" spans="1:6">
      <c r="B19" s="3" t="s">
        <v>57</v>
      </c>
      <c r="C19" s="99">
        <f>MEDIAN(C16:C16)</f>
        <v>15.77</v>
      </c>
      <c r="D19" s="99">
        <f>MEDIAN(D16:D16)</f>
        <v>12.02</v>
      </c>
      <c r="E19" s="99">
        <f>MEDIAN(E16:E16)</f>
        <v>1.3119800332778702</v>
      </c>
      <c r="F19" s="100">
        <f>MEDIAN(F16:F16)</f>
        <v>0.76220672162333547</v>
      </c>
    </row>
    <row r="20" spans="1:6">
      <c r="B20" s="3" t="s">
        <v>25</v>
      </c>
      <c r="C20" s="99">
        <f>AVERAGE(C16:C16)</f>
        <v>15.77</v>
      </c>
      <c r="D20" s="99">
        <f>AVERAGE(D16:D16)</f>
        <v>12.02</v>
      </c>
      <c r="E20" s="99">
        <f>AVERAGE(E16:E16)</f>
        <v>1.3119800332778702</v>
      </c>
      <c r="F20" s="100">
        <f>AVERAGE(F16:F16)</f>
        <v>0.76220672162333547</v>
      </c>
    </row>
    <row r="21" spans="1:6">
      <c r="B21" s="3"/>
      <c r="C21" s="99"/>
      <c r="D21" s="99"/>
      <c r="E21" s="99"/>
      <c r="F21" s="91"/>
    </row>
    <row r="22" spans="1:6" ht="21">
      <c r="B22" s="3"/>
      <c r="C22" s="99"/>
      <c r="D22" s="99"/>
      <c r="E22" s="105" t="s">
        <v>20</v>
      </c>
      <c r="F22" s="93">
        <v>0.76219999999999999</v>
      </c>
    </row>
    <row r="23" spans="1:6">
      <c r="B23" s="3"/>
      <c r="C23" s="106"/>
      <c r="D23" s="106"/>
      <c r="E23" s="106"/>
      <c r="F23" s="107"/>
    </row>
    <row r="30" spans="1:6">
      <c r="E30" t="s">
        <v>6</v>
      </c>
    </row>
    <row r="32" spans="1:6">
      <c r="E32" t="s">
        <v>6</v>
      </c>
    </row>
  </sheetData>
  <pageMargins left="0.25" right="0.25" top="0.75" bottom="0.75" header="0.3" footer="0.3"/>
  <pageSetup scale="78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G24"/>
  <sheetViews>
    <sheetView topLeftCell="A2" zoomScaleNormal="100" workbookViewId="0">
      <selection activeCell="F25" sqref="F25"/>
    </sheetView>
  </sheetViews>
  <sheetFormatPr defaultRowHeight="15"/>
  <cols>
    <col min="1" max="1" width="24.85546875" customWidth="1"/>
    <col min="2" max="2" width="13.28515625" bestFit="1" customWidth="1"/>
    <col min="3" max="3" width="28.5703125" customWidth="1"/>
    <col min="4" max="4" width="12" bestFit="1" customWidth="1"/>
    <col min="5" max="5" width="20.85546875" bestFit="1" customWidth="1"/>
    <col min="6" max="6" width="13" bestFit="1" customWidth="1"/>
  </cols>
  <sheetData>
    <row r="1" spans="1:7" ht="21">
      <c r="C1" s="1" t="s">
        <v>0</v>
      </c>
    </row>
    <row r="2" spans="1:7" ht="15.75">
      <c r="C2" s="2" t="s">
        <v>1</v>
      </c>
    </row>
    <row r="4" spans="1:7">
      <c r="C4" s="3" t="s">
        <v>2</v>
      </c>
    </row>
    <row r="5" spans="1:7">
      <c r="C5" s="3" t="s">
        <v>3</v>
      </c>
    </row>
    <row r="8" spans="1:7">
      <c r="D8" s="4"/>
    </row>
    <row r="10" spans="1:7" ht="15.75" thickBot="1">
      <c r="B10" s="5"/>
      <c r="C10" s="5"/>
      <c r="D10" s="5"/>
    </row>
    <row r="11" spans="1:7" ht="21">
      <c r="C11" s="6" t="s">
        <v>121</v>
      </c>
    </row>
    <row r="12" spans="1:7" ht="15.75" thickBot="1">
      <c r="B12" s="5"/>
      <c r="C12" s="7" t="s">
        <v>5</v>
      </c>
      <c r="D12" s="5"/>
    </row>
    <row r="13" spans="1:7" ht="15.75" thickBot="1">
      <c r="A13" s="5"/>
      <c r="B13" s="5"/>
      <c r="C13" s="7" t="s">
        <v>6</v>
      </c>
      <c r="D13" s="5"/>
      <c r="E13" s="5"/>
      <c r="F13" s="5"/>
      <c r="G13" s="5"/>
    </row>
    <row r="14" spans="1:7">
      <c r="A14" s="8" t="s">
        <v>7</v>
      </c>
      <c r="B14" s="8" t="s">
        <v>8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6</v>
      </c>
    </row>
    <row r="15" spans="1:7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  <c r="G15" s="7" t="s">
        <v>6</v>
      </c>
    </row>
    <row r="16" spans="1:7">
      <c r="A16" s="9" t="s">
        <v>6</v>
      </c>
      <c r="B16" s="9" t="s">
        <v>6</v>
      </c>
      <c r="C16" s="9" t="s">
        <v>6</v>
      </c>
      <c r="D16" s="9" t="s">
        <v>6</v>
      </c>
      <c r="E16" s="9" t="s">
        <v>6</v>
      </c>
      <c r="F16" s="9" t="s">
        <v>6</v>
      </c>
      <c r="G16" s="9" t="s">
        <v>6</v>
      </c>
    </row>
    <row r="17" spans="1:7">
      <c r="A17" s="8"/>
      <c r="B17" s="8"/>
      <c r="C17" s="8"/>
      <c r="D17" s="8"/>
      <c r="E17" s="8"/>
      <c r="F17" s="8"/>
      <c r="G17" s="8"/>
    </row>
    <row r="18" spans="1:7" ht="15.75">
      <c r="A18" s="2" t="s">
        <v>17</v>
      </c>
      <c r="B18" s="10">
        <v>0.65</v>
      </c>
      <c r="C18" s="11">
        <v>8.2000000000000003E-2</v>
      </c>
      <c r="D18" s="2" t="s">
        <v>6</v>
      </c>
      <c r="E18" s="11">
        <f>+C18</f>
        <v>8.2000000000000003E-2</v>
      </c>
      <c r="F18" s="12">
        <f>+E18*B18</f>
        <v>5.3300000000000007E-2</v>
      </c>
      <c r="G18" s="13" t="s">
        <v>6</v>
      </c>
    </row>
    <row r="19" spans="1:7" ht="15.75">
      <c r="A19" s="2" t="s">
        <v>6</v>
      </c>
      <c r="B19" s="14" t="s">
        <v>6</v>
      </c>
      <c r="C19" s="2" t="s">
        <v>6</v>
      </c>
      <c r="D19" s="2" t="s">
        <v>6</v>
      </c>
      <c r="E19" s="15" t="s">
        <v>6</v>
      </c>
      <c r="F19" s="12" t="s">
        <v>6</v>
      </c>
      <c r="G19" s="13" t="s">
        <v>6</v>
      </c>
    </row>
    <row r="20" spans="1:7" ht="15.75">
      <c r="A20" s="2" t="s">
        <v>18</v>
      </c>
      <c r="B20" s="10">
        <v>0.35</v>
      </c>
      <c r="C20" s="10">
        <v>3.2899999999999999E-2</v>
      </c>
      <c r="D20" s="116">
        <v>0.26</v>
      </c>
      <c r="E20" s="11">
        <f>+C20*(1-D20)</f>
        <v>2.4346E-2</v>
      </c>
      <c r="F20" s="12">
        <f>+B20*E20</f>
        <v>8.5210999999999985E-3</v>
      </c>
      <c r="G20" s="13" t="s">
        <v>6</v>
      </c>
    </row>
    <row r="21" spans="1:7" ht="16.5" thickBot="1">
      <c r="A21" s="17" t="s">
        <v>6</v>
      </c>
      <c r="B21" s="17" t="s">
        <v>6</v>
      </c>
      <c r="C21" s="17" t="s">
        <v>6</v>
      </c>
      <c r="D21" s="17" t="s">
        <v>6</v>
      </c>
      <c r="E21" s="18" t="s">
        <v>6</v>
      </c>
      <c r="F21" s="19" t="s">
        <v>6</v>
      </c>
      <c r="G21" s="20" t="s">
        <v>6</v>
      </c>
    </row>
    <row r="22" spans="1:7" ht="15.75">
      <c r="A22" s="2" t="s">
        <v>19</v>
      </c>
      <c r="B22" s="21">
        <f>+B18+B20</f>
        <v>1</v>
      </c>
      <c r="C22" s="2" t="s">
        <v>6</v>
      </c>
      <c r="D22" s="2" t="s">
        <v>6</v>
      </c>
      <c r="E22" s="15" t="s">
        <v>6</v>
      </c>
      <c r="F22" s="12">
        <f>+F18+F20</f>
        <v>6.1821100000000004E-2</v>
      </c>
      <c r="G22" s="13" t="s">
        <v>6</v>
      </c>
    </row>
    <row r="23" spans="1:7">
      <c r="A23" s="22"/>
      <c r="B23" s="22"/>
      <c r="C23" s="22"/>
      <c r="D23" s="22"/>
      <c r="E23" s="22"/>
      <c r="F23" s="22"/>
      <c r="G23" s="22"/>
    </row>
    <row r="24" spans="1:7" ht="15.75">
      <c r="E24" s="15" t="s">
        <v>20</v>
      </c>
      <c r="F24" s="12">
        <v>6.1800000000000001E-2</v>
      </c>
    </row>
  </sheetData>
  <pageMargins left="0.25" right="0.25" top="0.75" bottom="0.75" header="0.3" footer="0.3"/>
  <pageSetup scale="83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M41"/>
  <sheetViews>
    <sheetView zoomScale="70" zoomScaleNormal="70" zoomScalePageLayoutView="70" workbookViewId="0">
      <selection activeCell="F15" sqref="F15"/>
    </sheetView>
  </sheetViews>
  <sheetFormatPr defaultRowHeight="15"/>
  <cols>
    <col min="1" max="1" width="55.7109375" customWidth="1"/>
    <col min="2" max="2" width="10.85546875" bestFit="1" customWidth="1"/>
    <col min="3" max="3" width="19" customWidth="1"/>
    <col min="4" max="4" width="25.5703125" bestFit="1" customWidth="1"/>
    <col min="5" max="5" width="28.140625" customWidth="1"/>
    <col min="6" max="6" width="25.140625" customWidth="1"/>
    <col min="7" max="7" width="26.42578125" customWidth="1"/>
    <col min="8" max="8" width="25" customWidth="1"/>
    <col min="9" max="9" width="28" customWidth="1"/>
    <col min="10" max="10" width="26.28515625" customWidth="1"/>
    <col min="11" max="11" width="23.42578125" customWidth="1"/>
    <col min="12" max="12" width="28" customWidth="1"/>
    <col min="13" max="13" width="30.140625" bestFit="1" customWidth="1"/>
    <col min="14" max="14" width="9.14062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E4" s="4" t="s">
        <v>6</v>
      </c>
      <c r="K4" t="s">
        <v>6</v>
      </c>
    </row>
    <row r="6" spans="1:12">
      <c r="A6" s="25" t="s">
        <v>21</v>
      </c>
      <c r="B6" s="26"/>
      <c r="C6" s="26"/>
      <c r="D6" s="26"/>
      <c r="E6" s="26"/>
      <c r="F6" s="26"/>
      <c r="G6" s="27"/>
      <c r="H6" s="28"/>
      <c r="I6" s="28"/>
      <c r="J6" s="29"/>
      <c r="K6" s="29"/>
      <c r="L6" s="29"/>
    </row>
    <row r="7" spans="1:1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.7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20.25">
      <c r="A9" s="31" t="s">
        <v>94</v>
      </c>
      <c r="B9" s="28"/>
      <c r="C9" s="28"/>
      <c r="D9" s="28"/>
      <c r="E9" s="28"/>
      <c r="F9" s="28"/>
      <c r="G9" s="28"/>
      <c r="H9" s="28"/>
      <c r="I9" s="28"/>
      <c r="J9" s="28"/>
    </row>
    <row r="10" spans="1:12" ht="15.75" thickBot="1">
      <c r="A10" s="32" t="s">
        <v>6</v>
      </c>
      <c r="B10" s="33" t="s">
        <v>6</v>
      </c>
      <c r="C10" s="33" t="s">
        <v>6</v>
      </c>
      <c r="D10" s="33"/>
      <c r="E10" s="33"/>
      <c r="F10" s="33"/>
      <c r="G10" s="33" t="s">
        <v>6</v>
      </c>
      <c r="H10" s="34"/>
      <c r="I10" s="34"/>
      <c r="J10" s="34"/>
    </row>
    <row r="11" spans="1:12" ht="15.75">
      <c r="A11" s="117"/>
      <c r="B11" s="117"/>
      <c r="C11" s="117"/>
      <c r="F11" s="117"/>
      <c r="G11" s="117"/>
      <c r="H11" s="36" t="s">
        <v>23</v>
      </c>
      <c r="I11" s="36" t="s">
        <v>6</v>
      </c>
      <c r="J11" s="118"/>
    </row>
    <row r="12" spans="1:12" ht="15.75">
      <c r="A12" s="35"/>
      <c r="B12" s="35"/>
      <c r="C12" s="35"/>
      <c r="D12" s="440" t="s">
        <v>30</v>
      </c>
      <c r="E12" s="441"/>
      <c r="F12" s="40" t="s">
        <v>30</v>
      </c>
      <c r="G12" s="35"/>
      <c r="H12" s="35" t="s">
        <v>26</v>
      </c>
      <c r="I12" s="36" t="s">
        <v>23</v>
      </c>
      <c r="J12" s="36" t="s">
        <v>23</v>
      </c>
    </row>
    <row r="13" spans="1:12" ht="15.75">
      <c r="A13" s="35" t="s">
        <v>6</v>
      </c>
      <c r="B13" s="35" t="s">
        <v>27</v>
      </c>
      <c r="C13" s="35" t="s">
        <v>28</v>
      </c>
      <c r="D13" s="440" t="s">
        <v>29</v>
      </c>
      <c r="E13" s="441"/>
      <c r="F13" s="40" t="s">
        <v>25</v>
      </c>
      <c r="G13" s="36" t="s">
        <v>23</v>
      </c>
      <c r="H13" s="35" t="s">
        <v>31</v>
      </c>
      <c r="I13" s="37" t="s">
        <v>32</v>
      </c>
      <c r="J13" s="37" t="s">
        <v>33</v>
      </c>
    </row>
    <row r="14" spans="1:12" ht="16.5" thickBot="1">
      <c r="A14" s="38" t="s">
        <v>34</v>
      </c>
      <c r="B14" s="38" t="s">
        <v>35</v>
      </c>
      <c r="C14" s="38" t="s">
        <v>36</v>
      </c>
      <c r="D14" s="38" t="s">
        <v>37</v>
      </c>
      <c r="E14" s="38" t="s">
        <v>38</v>
      </c>
      <c r="F14" s="38" t="s">
        <v>29</v>
      </c>
      <c r="G14" s="38" t="s">
        <v>29</v>
      </c>
      <c r="H14" s="41" t="s">
        <v>39</v>
      </c>
      <c r="I14" s="38" t="s">
        <v>40</v>
      </c>
      <c r="J14" s="38" t="s">
        <v>40</v>
      </c>
    </row>
    <row r="15" spans="1:12" ht="15.75">
      <c r="A15" s="42" t="s">
        <v>41</v>
      </c>
      <c r="B15" s="42" t="s">
        <v>41</v>
      </c>
      <c r="C15" s="42" t="s">
        <v>41</v>
      </c>
      <c r="D15" s="42" t="s">
        <v>95</v>
      </c>
      <c r="E15" s="42" t="s">
        <v>95</v>
      </c>
      <c r="F15" s="42"/>
      <c r="G15" s="42" t="s">
        <v>95</v>
      </c>
      <c r="H15" s="42" t="s">
        <v>42</v>
      </c>
      <c r="I15" s="42" t="s">
        <v>42</v>
      </c>
      <c r="J15" s="42" t="s">
        <v>42</v>
      </c>
    </row>
    <row r="16" spans="1:12" ht="15.75">
      <c r="A16" s="35"/>
      <c r="B16" s="35"/>
      <c r="C16" s="35"/>
      <c r="D16" s="35"/>
      <c r="E16" s="35"/>
      <c r="F16" s="35"/>
      <c r="G16" s="35"/>
      <c r="H16" s="35"/>
      <c r="I16" s="44"/>
      <c r="J16" s="44"/>
    </row>
    <row r="17" spans="1:13" ht="15.75">
      <c r="A17" s="119" t="s">
        <v>122</v>
      </c>
      <c r="B17" s="120" t="s">
        <v>123</v>
      </c>
      <c r="C17" s="121" t="s">
        <v>74</v>
      </c>
      <c r="D17" s="45">
        <v>46.78</v>
      </c>
      <c r="E17" s="45">
        <v>45.68</v>
      </c>
      <c r="F17" s="46">
        <f t="shared" ref="F17" si="0">AVERAGE(D17,E17)</f>
        <v>46.230000000000004</v>
      </c>
      <c r="G17" s="46">
        <v>46.61</v>
      </c>
      <c r="H17" s="47">
        <f>888111634-297637297</f>
        <v>590474337</v>
      </c>
      <c r="I17" s="47">
        <v>0</v>
      </c>
      <c r="J17" s="47">
        <f>10111000000+220000000</f>
        <v>10331000000</v>
      </c>
      <c r="M17" t="s">
        <v>6</v>
      </c>
    </row>
    <row r="18" spans="1:13" ht="16.5" thickBot="1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3" ht="15.75">
      <c r="A19" s="49"/>
      <c r="B19" s="49"/>
      <c r="C19" s="49"/>
      <c r="D19" s="49"/>
      <c r="E19" s="49"/>
      <c r="F19" s="49"/>
      <c r="G19" s="49"/>
      <c r="H19" s="49"/>
      <c r="I19" s="49"/>
      <c r="J19" s="49"/>
    </row>
    <row r="20" spans="1:13" ht="15.75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3" ht="15.75">
      <c r="A21" s="49"/>
      <c r="B21" s="49"/>
      <c r="C21" s="49"/>
      <c r="D21" s="49"/>
      <c r="E21" s="36" t="s">
        <v>6</v>
      </c>
      <c r="F21" s="49"/>
      <c r="G21" s="49"/>
      <c r="H21" s="49"/>
      <c r="I21" s="49"/>
      <c r="J21" s="49"/>
      <c r="K21" s="49"/>
      <c r="L21" s="49"/>
    </row>
    <row r="22" spans="1:13" ht="15.75">
      <c r="A22" s="35"/>
      <c r="B22" s="35"/>
      <c r="C22" s="35"/>
      <c r="D22" s="36" t="s">
        <v>23</v>
      </c>
      <c r="E22" s="36" t="s">
        <v>23</v>
      </c>
      <c r="F22" s="36" t="s">
        <v>23</v>
      </c>
      <c r="G22" s="36" t="s">
        <v>23</v>
      </c>
      <c r="H22" s="36" t="s">
        <v>23</v>
      </c>
      <c r="I22" s="36" t="s">
        <v>23</v>
      </c>
      <c r="J22" s="36" t="s">
        <v>23</v>
      </c>
    </row>
    <row r="23" spans="1:13" ht="15.75">
      <c r="A23" s="35" t="s">
        <v>6</v>
      </c>
      <c r="B23" s="35" t="s">
        <v>27</v>
      </c>
      <c r="C23" s="35" t="s">
        <v>28</v>
      </c>
      <c r="D23" s="35" t="s">
        <v>26</v>
      </c>
      <c r="E23" s="37" t="s">
        <v>32</v>
      </c>
      <c r="F23" s="35" t="s">
        <v>46</v>
      </c>
      <c r="G23" s="37" t="s">
        <v>47</v>
      </c>
      <c r="H23" s="37" t="s">
        <v>48</v>
      </c>
      <c r="I23" s="37" t="s">
        <v>49</v>
      </c>
      <c r="J23" s="37" t="s">
        <v>99</v>
      </c>
    </row>
    <row r="24" spans="1:13" ht="16.5" thickBot="1">
      <c r="A24" s="38" t="s">
        <v>34</v>
      </c>
      <c r="B24" s="38" t="s">
        <v>35</v>
      </c>
      <c r="C24" s="38" t="s">
        <v>36</v>
      </c>
      <c r="D24" s="38" t="s">
        <v>51</v>
      </c>
      <c r="E24" s="38" t="s">
        <v>51</v>
      </c>
      <c r="F24" s="38" t="s">
        <v>51</v>
      </c>
      <c r="G24" s="38" t="s">
        <v>51</v>
      </c>
      <c r="H24" s="38" t="s">
        <v>52</v>
      </c>
      <c r="I24" s="38" t="s">
        <v>6</v>
      </c>
      <c r="J24" s="38" t="s">
        <v>6</v>
      </c>
    </row>
    <row r="25" spans="1:13" ht="15.75">
      <c r="A25" s="42" t="s">
        <v>41</v>
      </c>
      <c r="B25" s="42" t="s">
        <v>41</v>
      </c>
      <c r="C25" s="42" t="s">
        <v>41</v>
      </c>
      <c r="D25" s="42" t="s">
        <v>53</v>
      </c>
      <c r="E25" s="42" t="s">
        <v>42</v>
      </c>
      <c r="F25" s="42" t="s">
        <v>53</v>
      </c>
      <c r="G25" s="42" t="s">
        <v>42</v>
      </c>
      <c r="H25" s="42" t="s">
        <v>53</v>
      </c>
      <c r="I25" s="42" t="s">
        <v>53</v>
      </c>
      <c r="J25" s="42" t="s">
        <v>53</v>
      </c>
    </row>
    <row r="26" spans="1:13" ht="15.75">
      <c r="A26" s="35"/>
      <c r="B26" s="35"/>
      <c r="C26" s="35"/>
      <c r="D26" s="49"/>
      <c r="E26" s="49"/>
      <c r="G26" s="44"/>
      <c r="H26" s="44"/>
      <c r="I26" s="44"/>
      <c r="J26" s="44"/>
    </row>
    <row r="27" spans="1:13" ht="15.75">
      <c r="A27" s="119" t="str">
        <f>+A17</f>
        <v xml:space="preserve">Southwest Airlines </v>
      </c>
      <c r="B27" s="120" t="str">
        <f>+B17</f>
        <v>LUV</v>
      </c>
      <c r="C27" s="121" t="str">
        <f>+C17</f>
        <v>AirTrans</v>
      </c>
      <c r="D27" s="145">
        <f>+G17*(H17)</f>
        <v>27522008847.57</v>
      </c>
      <c r="E27" s="52">
        <f>(1/1)*I17</f>
        <v>0</v>
      </c>
      <c r="F27" s="146">
        <f>G41</f>
        <v>1868000000</v>
      </c>
      <c r="G27" s="47">
        <f>((311+140+1362+3359+1799+119+324+155+329+2383+145+183+515+953)/(300+137+1250+1945+1550+119+300+159+300+2000+119+184+500+976))*J17</f>
        <v>12680911373.107023</v>
      </c>
      <c r="H27" s="47">
        <f t="shared" ref="H27" si="1">+D27+E27+F27+G27</f>
        <v>42070920220.677025</v>
      </c>
      <c r="I27" s="54">
        <f t="shared" ref="I27" si="2">+D27/H27</f>
        <v>0.65418128967009082</v>
      </c>
      <c r="J27" s="54">
        <f t="shared" ref="J27" si="3">(+F27+G27)/H27</f>
        <v>0.34581871032990907</v>
      </c>
    </row>
    <row r="28" spans="1:13">
      <c r="G28" s="3" t="s">
        <v>6</v>
      </c>
    </row>
    <row r="29" spans="1:13" ht="15.75">
      <c r="H29" s="58"/>
      <c r="I29" s="58"/>
      <c r="J29" s="58"/>
    </row>
    <row r="30" spans="1:13" ht="15.75">
      <c r="A30" s="22" t="s">
        <v>54</v>
      </c>
      <c r="H30" s="58" t="s">
        <v>57</v>
      </c>
      <c r="I30" s="54">
        <f>MEDIAN(I27:I27)</f>
        <v>0.65418128967009082</v>
      </c>
      <c r="J30" s="54">
        <f>MEDIAN(J27:J27)</f>
        <v>0.34581871032990907</v>
      </c>
    </row>
    <row r="31" spans="1:13" ht="15.75">
      <c r="A31" s="22" t="s">
        <v>56</v>
      </c>
      <c r="F31" s="131" t="s">
        <v>6</v>
      </c>
      <c r="G31" t="s">
        <v>6</v>
      </c>
      <c r="H31" s="58" t="s">
        <v>25</v>
      </c>
      <c r="I31" s="12">
        <f>AVERAGE(I27:I27)</f>
        <v>0.65418128967009082</v>
      </c>
      <c r="J31" s="12">
        <f>AVERAGE(J27:J27)</f>
        <v>0.34581871032990907</v>
      </c>
    </row>
    <row r="32" spans="1:13" ht="15.75">
      <c r="A32" s="22" t="s">
        <v>58</v>
      </c>
      <c r="C32" s="132"/>
      <c r="D32" s="133"/>
      <c r="H32" s="24"/>
      <c r="I32" s="24"/>
      <c r="J32" s="24"/>
    </row>
    <row r="33" spans="3:10" ht="21">
      <c r="F33" s="131" t="s">
        <v>6</v>
      </c>
      <c r="H33" s="61" t="s">
        <v>20</v>
      </c>
      <c r="I33" s="62">
        <v>0.65</v>
      </c>
      <c r="J33" s="62">
        <v>0.35</v>
      </c>
    </row>
    <row r="34" spans="3:10">
      <c r="C34" s="132"/>
    </row>
    <row r="35" spans="3:10" ht="15.75">
      <c r="C35" s="132" t="s">
        <v>6</v>
      </c>
      <c r="H35" t="s">
        <v>6</v>
      </c>
      <c r="I35" s="24"/>
      <c r="J35" s="24"/>
    </row>
    <row r="36" spans="3:10">
      <c r="C36" s="132"/>
    </row>
    <row r="37" spans="3:10">
      <c r="C37" s="132"/>
    </row>
    <row r="38" spans="3:10">
      <c r="C38" s="132" t="s">
        <v>6</v>
      </c>
      <c r="H38" t="s">
        <v>6</v>
      </c>
    </row>
    <row r="39" spans="3:10">
      <c r="C39" s="132"/>
    </row>
    <row r="40" spans="3:10">
      <c r="C40" s="132"/>
      <c r="D40" s="67" t="s">
        <v>60</v>
      </c>
      <c r="E40" s="134" t="s">
        <v>34</v>
      </c>
      <c r="F40" s="69" t="s">
        <v>61</v>
      </c>
      <c r="G40" s="69" t="s">
        <v>62</v>
      </c>
      <c r="H40" t="s">
        <v>6</v>
      </c>
    </row>
    <row r="41" spans="3:10" ht="15.75">
      <c r="D41" s="108">
        <v>935000000</v>
      </c>
      <c r="E41" s="109" t="str">
        <f>+A27</f>
        <v xml:space="preserve">Southwest Airlines </v>
      </c>
      <c r="F41" s="110">
        <v>1892000000</v>
      </c>
      <c r="G41" s="110">
        <f>(306+1562)*1000000</f>
        <v>1868000000</v>
      </c>
    </row>
  </sheetData>
  <mergeCells count="2">
    <mergeCell ref="D12:E12"/>
    <mergeCell ref="D13:E13"/>
  </mergeCells>
  <pageMargins left="0.25" right="0.25" top="0.75" bottom="0.75" header="0.3" footer="0.3"/>
  <pageSetup scale="32" orientation="portrait" r:id="rId1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J17"/>
  <sheetViews>
    <sheetView zoomScaleNormal="100" workbookViewId="0">
      <selection activeCell="I13" sqref="I13"/>
    </sheetView>
  </sheetViews>
  <sheetFormatPr defaultRowHeight="15"/>
  <cols>
    <col min="1" max="1" width="39" customWidth="1"/>
    <col min="2" max="2" width="18.28515625" customWidth="1"/>
    <col min="3" max="3" width="12.28515625" bestFit="1" customWidth="1"/>
    <col min="4" max="4" width="16.28515625" customWidth="1"/>
    <col min="5" max="5" width="16.42578125" customWidth="1"/>
    <col min="6" max="6" width="13.7109375" bestFit="1" customWidth="1"/>
    <col min="7" max="7" width="10.5703125" customWidth="1"/>
    <col min="8" max="8" width="23.140625" customWidth="1"/>
    <col min="9" max="9" width="16.42578125" customWidth="1"/>
    <col min="10" max="10" width="14.5703125" customWidth="1"/>
  </cols>
  <sheetData>
    <row r="1" spans="1:10" ht="21">
      <c r="A1" s="23" t="s">
        <v>0</v>
      </c>
    </row>
    <row r="2" spans="1:10" ht="15.75">
      <c r="A2" s="24" t="s">
        <v>1</v>
      </c>
    </row>
    <row r="3" spans="1:10">
      <c r="A3" s="22" t="s">
        <v>2</v>
      </c>
    </row>
    <row r="4" spans="1:10">
      <c r="F4" s="4" t="s">
        <v>6</v>
      </c>
    </row>
    <row r="5" spans="1:10" ht="15.75">
      <c r="A5" s="76" t="s">
        <v>101</v>
      </c>
    </row>
    <row r="6" spans="1:10" ht="15.75" thickBot="1">
      <c r="A6" s="77" t="s">
        <v>6</v>
      </c>
      <c r="B6" s="77" t="s">
        <v>6</v>
      </c>
      <c r="C6" s="77" t="s">
        <v>6</v>
      </c>
      <c r="D6" s="77"/>
      <c r="E6" s="77"/>
      <c r="F6" s="77" t="s">
        <v>6</v>
      </c>
      <c r="G6" s="77" t="s">
        <v>6</v>
      </c>
      <c r="H6" s="77" t="s">
        <v>6</v>
      </c>
      <c r="I6" s="5"/>
    </row>
    <row r="7" spans="1:10">
      <c r="A7" s="8" t="s">
        <v>6</v>
      </c>
      <c r="B7" s="8" t="s">
        <v>27</v>
      </c>
      <c r="C7" s="8" t="s">
        <v>28</v>
      </c>
      <c r="D7" s="8" t="s">
        <v>63</v>
      </c>
      <c r="E7" s="8" t="s">
        <v>64</v>
      </c>
      <c r="F7" s="8" t="s">
        <v>65</v>
      </c>
      <c r="G7" s="8" t="s">
        <v>66</v>
      </c>
      <c r="H7" s="8" t="s">
        <v>102</v>
      </c>
      <c r="I7" s="8" t="s">
        <v>6</v>
      </c>
    </row>
    <row r="8" spans="1:10" ht="15.75" thickBot="1">
      <c r="A8" s="7" t="s">
        <v>34</v>
      </c>
      <c r="B8" s="7" t="s">
        <v>35</v>
      </c>
      <c r="C8" s="7" t="s">
        <v>36</v>
      </c>
      <c r="D8" s="7"/>
      <c r="E8" s="7" t="s">
        <v>69</v>
      </c>
      <c r="F8" s="7" t="s">
        <v>70</v>
      </c>
      <c r="G8" s="7" t="s">
        <v>71</v>
      </c>
      <c r="H8" s="7" t="s">
        <v>71</v>
      </c>
      <c r="I8" s="7" t="s">
        <v>72</v>
      </c>
    </row>
    <row r="9" spans="1:10">
      <c r="A9" s="9" t="s">
        <v>41</v>
      </c>
      <c r="B9" s="9" t="s">
        <v>41</v>
      </c>
      <c r="C9" s="9" t="s">
        <v>41</v>
      </c>
      <c r="D9" s="9" t="s">
        <v>41</v>
      </c>
      <c r="E9" s="9" t="s">
        <v>41</v>
      </c>
      <c r="F9" s="9" t="s">
        <v>41</v>
      </c>
      <c r="G9" s="9" t="s">
        <v>66</v>
      </c>
      <c r="H9" s="9" t="s">
        <v>68</v>
      </c>
      <c r="I9" s="9" t="s">
        <v>68</v>
      </c>
    </row>
    <row r="10" spans="1:10">
      <c r="A10" s="8"/>
      <c r="B10" s="8"/>
      <c r="C10" s="8"/>
      <c r="D10" s="8"/>
      <c r="E10" s="8"/>
      <c r="F10" s="8"/>
      <c r="G10" s="8"/>
      <c r="H10" s="8"/>
    </row>
    <row r="11" spans="1:10">
      <c r="A11" s="119" t="s">
        <v>122</v>
      </c>
      <c r="B11" s="120" t="s">
        <v>123</v>
      </c>
      <c r="C11" s="3" t="s">
        <v>74</v>
      </c>
      <c r="D11" s="98">
        <v>1.1000000000000001</v>
      </c>
      <c r="E11" s="81">
        <v>0</v>
      </c>
      <c r="F11" s="135" t="s">
        <v>110</v>
      </c>
      <c r="G11" s="78" t="s">
        <v>76</v>
      </c>
      <c r="H11" s="78" t="s">
        <v>104</v>
      </c>
      <c r="I11" s="136">
        <v>3.2899999999999999E-2</v>
      </c>
    </row>
    <row r="12" spans="1:10" ht="15.75" thickBot="1">
      <c r="A12" s="83" t="s">
        <v>6</v>
      </c>
      <c r="B12" s="137" t="s">
        <v>6</v>
      </c>
      <c r="C12" s="101" t="s">
        <v>6</v>
      </c>
      <c r="D12" s="101" t="s">
        <v>6</v>
      </c>
      <c r="E12" s="103" t="s">
        <v>6</v>
      </c>
      <c r="F12" s="101" t="s">
        <v>6</v>
      </c>
      <c r="G12" s="101" t="s">
        <v>6</v>
      </c>
      <c r="H12" s="103" t="s">
        <v>6</v>
      </c>
      <c r="I12" s="82"/>
    </row>
    <row r="13" spans="1:10" ht="15.75" thickTop="1">
      <c r="C13" s="87"/>
      <c r="D13" s="87"/>
      <c r="E13" s="87"/>
      <c r="F13" s="135" t="s">
        <v>6</v>
      </c>
      <c r="G13" s="98"/>
      <c r="H13" s="3"/>
      <c r="I13" s="87"/>
    </row>
    <row r="14" spans="1:10">
      <c r="C14" s="87" t="s">
        <v>57</v>
      </c>
      <c r="D14" s="88">
        <f>MEDIAN(D11:D11)</f>
        <v>1.1000000000000001</v>
      </c>
      <c r="E14" s="89">
        <f>MEDIAN(E11:E11)</f>
        <v>0</v>
      </c>
      <c r="F14" s="135" t="s">
        <v>105</v>
      </c>
      <c r="G14" s="98" t="s">
        <v>6</v>
      </c>
      <c r="H14" s="3" t="s">
        <v>106</v>
      </c>
      <c r="I14" s="89">
        <f>MEDIAN(I11:I11)</f>
        <v>3.2899999999999999E-2</v>
      </c>
    </row>
    <row r="15" spans="1:10">
      <c r="C15" s="87" t="s">
        <v>25</v>
      </c>
      <c r="D15" s="90">
        <f>AVERAGE(D11:D11)</f>
        <v>1.1000000000000001</v>
      </c>
      <c r="E15" s="91">
        <f>AVERAGE(E11:E11)</f>
        <v>0</v>
      </c>
      <c r="I15" s="91">
        <f>AVERAGE(I11:I11)</f>
        <v>3.2899999999999999E-2</v>
      </c>
    </row>
    <row r="16" spans="1:10">
      <c r="J16" s="138"/>
    </row>
    <row r="17" spans="8:10" ht="21">
      <c r="H17" s="61" t="s">
        <v>78</v>
      </c>
      <c r="I17" s="93">
        <v>3.2899999999999999E-2</v>
      </c>
      <c r="J17" s="93" t="s">
        <v>6</v>
      </c>
    </row>
  </sheetData>
  <pageMargins left="0.25" right="0.25" top="0.75" bottom="0.75" header="0.3" footer="0.3"/>
  <pageSetup scale="66" orientation="portrait" r:id="rId1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L32"/>
  <sheetViews>
    <sheetView zoomScale="90" zoomScaleNormal="90" workbookViewId="0">
      <selection activeCell="F18" sqref="F18"/>
    </sheetView>
  </sheetViews>
  <sheetFormatPr defaultRowHeight="15"/>
  <cols>
    <col min="1" max="1" width="43.7109375" customWidth="1"/>
    <col min="2" max="2" width="14.28515625" customWidth="1"/>
    <col min="3" max="3" width="16.85546875" customWidth="1"/>
    <col min="4" max="4" width="17.5703125" customWidth="1"/>
    <col min="5" max="5" width="15.42578125" customWidth="1"/>
    <col min="6" max="6" width="21.710937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D4" s="4" t="s">
        <v>6</v>
      </c>
    </row>
    <row r="5" spans="1:12" ht="15.75">
      <c r="A5" s="76" t="s">
        <v>101</v>
      </c>
    </row>
    <row r="6" spans="1:12" ht="15.75">
      <c r="A6" s="76"/>
    </row>
    <row r="7" spans="1:12" ht="18.75">
      <c r="A7" s="76"/>
      <c r="D7" s="95" t="s">
        <v>79</v>
      </c>
    </row>
    <row r="8" spans="1:12" ht="18.75">
      <c r="A8" s="76"/>
      <c r="D8" s="95" t="s">
        <v>80</v>
      </c>
    </row>
    <row r="9" spans="1:12" ht="15.75">
      <c r="A9" s="76"/>
    </row>
    <row r="10" spans="1:12" ht="15.75" thickBot="1">
      <c r="A10" s="77" t="s">
        <v>6</v>
      </c>
      <c r="B10" s="77" t="s">
        <v>6</v>
      </c>
      <c r="C10" s="77" t="s">
        <v>6</v>
      </c>
      <c r="D10" s="77" t="s">
        <v>6</v>
      </c>
      <c r="E10" s="77" t="s">
        <v>6</v>
      </c>
      <c r="F10" s="77" t="s">
        <v>6</v>
      </c>
    </row>
    <row r="11" spans="1:12">
      <c r="A11" s="8" t="s">
        <v>6</v>
      </c>
      <c r="B11" s="8" t="s">
        <v>27</v>
      </c>
      <c r="C11" s="8" t="s">
        <v>6</v>
      </c>
      <c r="D11" s="8" t="s">
        <v>81</v>
      </c>
      <c r="E11" s="8" t="s">
        <v>81</v>
      </c>
      <c r="F11" s="8" t="s">
        <v>82</v>
      </c>
    </row>
    <row r="12" spans="1:12" ht="15.75" thickBot="1">
      <c r="A12" s="7" t="s">
        <v>34</v>
      </c>
      <c r="B12" s="7" t="s">
        <v>35</v>
      </c>
      <c r="C12" s="7" t="s">
        <v>83</v>
      </c>
      <c r="D12" s="7" t="s">
        <v>84</v>
      </c>
      <c r="E12" s="7" t="s">
        <v>85</v>
      </c>
      <c r="F12" s="7" t="s">
        <v>86</v>
      </c>
    </row>
    <row r="13" spans="1:12">
      <c r="A13" s="9" t="s">
        <v>6</v>
      </c>
      <c r="B13" s="9" t="s">
        <v>6</v>
      </c>
      <c r="C13" s="9" t="s">
        <v>41</v>
      </c>
      <c r="D13" s="9" t="s">
        <v>41</v>
      </c>
      <c r="E13" s="9" t="s">
        <v>6</v>
      </c>
      <c r="F13" s="9" t="s">
        <v>6</v>
      </c>
    </row>
    <row r="14" spans="1:12">
      <c r="A14" s="8"/>
      <c r="B14" s="8"/>
      <c r="C14" s="8"/>
      <c r="D14" s="8"/>
      <c r="E14" s="8"/>
      <c r="F14" s="8"/>
    </row>
    <row r="15" spans="1:12">
      <c r="K15" s="73"/>
      <c r="L15" s="73"/>
    </row>
    <row r="16" spans="1:12">
      <c r="A16" s="22" t="s">
        <v>122</v>
      </c>
      <c r="B16" s="120" t="s">
        <v>123</v>
      </c>
      <c r="C16" s="139">
        <v>46.61</v>
      </c>
      <c r="D16" s="78">
        <v>3.82</v>
      </c>
      <c r="E16" s="140">
        <f t="shared" ref="E16" si="0">C16/D16</f>
        <v>12.201570680628272</v>
      </c>
      <c r="F16" s="136">
        <f t="shared" ref="F16" si="1">1/E16</f>
        <v>8.1956661660587862E-2</v>
      </c>
      <c r="K16" s="73"/>
      <c r="L16" s="73"/>
    </row>
    <row r="17" spans="1:6" ht="15.75" thickBot="1">
      <c r="A17" s="83" t="s">
        <v>6</v>
      </c>
      <c r="B17" s="137" t="s">
        <v>6</v>
      </c>
      <c r="C17" s="141" t="s">
        <v>6</v>
      </c>
      <c r="D17" s="142" t="s">
        <v>6</v>
      </c>
      <c r="E17" s="102" t="s">
        <v>6</v>
      </c>
      <c r="F17" s="143" t="s">
        <v>6</v>
      </c>
    </row>
    <row r="18" spans="1:6" ht="15.75" thickTop="1">
      <c r="B18" s="3"/>
      <c r="C18" s="87"/>
      <c r="D18" s="87"/>
      <c r="E18" s="87"/>
      <c r="F18" s="87"/>
    </row>
    <row r="19" spans="1:6">
      <c r="B19" s="3" t="s">
        <v>57</v>
      </c>
      <c r="C19" s="99">
        <f>MEDIAN(C16:C16)</f>
        <v>46.61</v>
      </c>
      <c r="D19" s="99">
        <f>MEDIAN(D16:D16)</f>
        <v>3.82</v>
      </c>
      <c r="E19" s="99">
        <f>MEDIAN(E16:E16)</f>
        <v>12.201570680628272</v>
      </c>
      <c r="F19" s="100">
        <f>MEDIAN(F16:F16)</f>
        <v>8.1956661660587862E-2</v>
      </c>
    </row>
    <row r="20" spans="1:6">
      <c r="B20" s="3" t="s">
        <v>25</v>
      </c>
      <c r="C20" s="99">
        <f>AVERAGE(C16:C16)</f>
        <v>46.61</v>
      </c>
      <c r="D20" s="99">
        <f>AVERAGE(D16:D16)</f>
        <v>3.82</v>
      </c>
      <c r="E20" s="99">
        <f>AVERAGE(E16:E16)</f>
        <v>12.201570680628272</v>
      </c>
      <c r="F20" s="100">
        <f>AVERAGE(F16:F16)</f>
        <v>8.1956661660587862E-2</v>
      </c>
    </row>
    <row r="21" spans="1:6">
      <c r="B21" s="3"/>
      <c r="C21" s="99"/>
      <c r="D21" s="99"/>
      <c r="E21" s="99"/>
      <c r="F21" s="91"/>
    </row>
    <row r="22" spans="1:6" ht="21">
      <c r="B22" s="3"/>
      <c r="C22" s="99"/>
      <c r="D22" s="99"/>
      <c r="E22" s="105" t="s">
        <v>20</v>
      </c>
      <c r="F22" s="93">
        <v>8.2000000000000003E-2</v>
      </c>
    </row>
    <row r="23" spans="1:6">
      <c r="B23" s="3"/>
      <c r="C23" s="106"/>
      <c r="D23" s="106"/>
      <c r="E23" s="106"/>
      <c r="F23" s="107"/>
    </row>
    <row r="30" spans="1:6">
      <c r="E30" t="s">
        <v>6</v>
      </c>
    </row>
    <row r="32" spans="1:6">
      <c r="E32" t="s">
        <v>6</v>
      </c>
    </row>
  </sheetData>
  <pageMargins left="0.25" right="0.25" top="0.75" bottom="0.75" header="0.3" footer="0.3"/>
  <pageSetup scale="78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F24"/>
  <sheetViews>
    <sheetView zoomScaleNormal="100" workbookViewId="0">
      <selection activeCell="F20" sqref="F20"/>
    </sheetView>
  </sheetViews>
  <sheetFormatPr defaultRowHeight="15"/>
  <cols>
    <col min="1" max="1" width="24.85546875" customWidth="1"/>
    <col min="2" max="2" width="13.28515625" bestFit="1" customWidth="1"/>
    <col min="3" max="3" width="35.28515625" customWidth="1"/>
    <col min="4" max="4" width="12" bestFit="1" customWidth="1"/>
    <col min="5" max="5" width="20.85546875" bestFit="1" customWidth="1"/>
    <col min="6" max="6" width="16.28515625" customWidth="1"/>
  </cols>
  <sheetData>
    <row r="1" spans="1:6" ht="21">
      <c r="C1" s="1" t="s">
        <v>0</v>
      </c>
    </row>
    <row r="2" spans="1:6" ht="15.75">
      <c r="A2" s="198"/>
      <c r="C2" s="2" t="s">
        <v>1</v>
      </c>
    </row>
    <row r="3" spans="1:6">
      <c r="A3" s="198"/>
    </row>
    <row r="4" spans="1:6">
      <c r="C4" s="3" t="s">
        <v>2</v>
      </c>
    </row>
    <row r="5" spans="1:6">
      <c r="C5" s="3" t="s">
        <v>3</v>
      </c>
    </row>
    <row r="8" spans="1:6">
      <c r="D8" s="4"/>
    </row>
    <row r="10" spans="1:6" ht="15.75" thickBot="1">
      <c r="B10" s="5"/>
      <c r="C10" s="5"/>
      <c r="D10" s="5"/>
    </row>
    <row r="11" spans="1:6" ht="21">
      <c r="C11" s="6" t="s">
        <v>165</v>
      </c>
    </row>
    <row r="12" spans="1:6" ht="15.75" thickBot="1">
      <c r="B12" s="5"/>
      <c r="C12" s="7" t="s">
        <v>5</v>
      </c>
      <c r="D12" s="5"/>
    </row>
    <row r="13" spans="1:6" ht="15.75" thickBot="1">
      <c r="A13" s="5"/>
      <c r="B13" s="5"/>
      <c r="C13" s="7" t="s">
        <v>6</v>
      </c>
      <c r="D13" s="5"/>
      <c r="E13" s="5"/>
      <c r="F13" s="5"/>
    </row>
    <row r="14" spans="1:6">
      <c r="A14" s="8" t="s">
        <v>7</v>
      </c>
      <c r="B14" s="8" t="s">
        <v>8</v>
      </c>
      <c r="C14" s="8" t="s">
        <v>9</v>
      </c>
      <c r="D14" s="8" t="s">
        <v>10</v>
      </c>
      <c r="E14" s="8" t="s">
        <v>11</v>
      </c>
      <c r="F14" s="8" t="s">
        <v>12</v>
      </c>
    </row>
    <row r="15" spans="1:6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</row>
    <row r="16" spans="1:6">
      <c r="A16" s="9" t="s">
        <v>6</v>
      </c>
      <c r="B16" s="9" t="s">
        <v>6</v>
      </c>
      <c r="C16" s="9" t="s">
        <v>6</v>
      </c>
      <c r="D16" s="9" t="s">
        <v>6</v>
      </c>
      <c r="E16" s="9" t="s">
        <v>6</v>
      </c>
      <c r="F16" s="9" t="s">
        <v>6</v>
      </c>
    </row>
    <row r="17" spans="1:6">
      <c r="A17" s="8"/>
      <c r="B17" s="8"/>
      <c r="C17" s="8"/>
      <c r="D17" s="8"/>
      <c r="E17" s="8"/>
      <c r="F17" s="8"/>
    </row>
    <row r="18" spans="1:6" ht="15.75">
      <c r="A18" s="2" t="s">
        <v>17</v>
      </c>
      <c r="B18" s="16">
        <v>0.53</v>
      </c>
      <c r="C18" s="10">
        <v>0.12089999999999999</v>
      </c>
      <c r="D18" s="14" t="s">
        <v>134</v>
      </c>
      <c r="E18" s="10">
        <f>+C18</f>
        <v>0.12089999999999999</v>
      </c>
      <c r="F18" s="199">
        <f>+E18*B18</f>
        <v>6.4076999999999995E-2</v>
      </c>
    </row>
    <row r="19" spans="1:6" ht="15.75">
      <c r="A19" s="2" t="s">
        <v>6</v>
      </c>
      <c r="B19" s="14" t="s">
        <v>6</v>
      </c>
      <c r="C19" s="14" t="s">
        <v>6</v>
      </c>
      <c r="D19" s="14" t="s">
        <v>6</v>
      </c>
      <c r="E19" s="200" t="s">
        <v>6</v>
      </c>
      <c r="F19" s="12" t="s">
        <v>6</v>
      </c>
    </row>
    <row r="20" spans="1:6" ht="15.75">
      <c r="A20" s="2" t="s">
        <v>18</v>
      </c>
      <c r="B20" s="16">
        <v>0.47</v>
      </c>
      <c r="C20" s="16">
        <v>3.2899999999999999E-2</v>
      </c>
      <c r="D20" s="16">
        <v>0.26</v>
      </c>
      <c r="E20" s="16">
        <f>+C20*(1-D20)</f>
        <v>2.4346E-2</v>
      </c>
      <c r="F20" s="161">
        <f>+B20*E20</f>
        <v>1.1442619999999999E-2</v>
      </c>
    </row>
    <row r="21" spans="1:6" ht="16.5" thickBot="1">
      <c r="A21" s="17" t="s">
        <v>6</v>
      </c>
      <c r="B21" s="17" t="s">
        <v>6</v>
      </c>
      <c r="C21" s="17" t="s">
        <v>6</v>
      </c>
      <c r="D21" s="17" t="s">
        <v>6</v>
      </c>
      <c r="E21" s="18" t="s">
        <v>6</v>
      </c>
      <c r="F21" s="19" t="s">
        <v>6</v>
      </c>
    </row>
    <row r="22" spans="1:6" ht="15.75">
      <c r="A22" s="2" t="s">
        <v>19</v>
      </c>
      <c r="B22" s="21">
        <f>+B18+B20</f>
        <v>1</v>
      </c>
      <c r="C22" s="2" t="s">
        <v>6</v>
      </c>
      <c r="D22" s="2" t="s">
        <v>6</v>
      </c>
      <c r="E22" s="15" t="s">
        <v>6</v>
      </c>
      <c r="F22" s="199">
        <f>+F18+F20</f>
        <v>7.5519619999999996E-2</v>
      </c>
    </row>
    <row r="23" spans="1:6" ht="15.75">
      <c r="A23" s="24"/>
      <c r="B23" s="24"/>
      <c r="C23" s="24"/>
      <c r="D23" s="24"/>
      <c r="E23" s="24"/>
      <c r="F23" s="201"/>
    </row>
    <row r="24" spans="1:6" ht="15.75">
      <c r="E24" s="15" t="s">
        <v>20</v>
      </c>
      <c r="F24" s="199">
        <v>7.5499999999999998E-2</v>
      </c>
    </row>
  </sheetData>
  <pageMargins left="0.25" right="0.25" top="0.75" bottom="0.7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M66"/>
  <sheetViews>
    <sheetView topLeftCell="A19" zoomScale="80" zoomScaleNormal="80" zoomScalePageLayoutView="70" workbookViewId="0">
      <pane xSplit="1" topLeftCell="C1" activePane="topRight" state="frozen"/>
      <selection activeCell="D9" sqref="D9"/>
      <selection pane="topRight" activeCell="I8" sqref="I8"/>
    </sheetView>
  </sheetViews>
  <sheetFormatPr defaultRowHeight="15"/>
  <cols>
    <col min="1" max="1" width="54.140625" customWidth="1"/>
    <col min="2" max="2" width="11.5703125" bestFit="1" customWidth="1"/>
    <col min="3" max="3" width="20.42578125" bestFit="1" customWidth="1"/>
    <col min="4" max="4" width="25.5703125" bestFit="1" customWidth="1"/>
    <col min="5" max="5" width="28" customWidth="1"/>
    <col min="6" max="6" width="27.7109375" customWidth="1"/>
    <col min="7" max="7" width="25.140625" bestFit="1" customWidth="1"/>
    <col min="8" max="8" width="29" bestFit="1" customWidth="1"/>
    <col min="9" max="9" width="27.28515625" customWidth="1"/>
    <col min="10" max="10" width="30.85546875" customWidth="1"/>
    <col min="11" max="11" width="28.28515625" customWidth="1"/>
    <col min="12" max="12" width="25.85546875" bestFit="1" customWidth="1"/>
    <col min="13" max="13" width="30.140625" bestFit="1" customWidth="1"/>
    <col min="14" max="14" width="9.140625" customWidth="1"/>
  </cols>
  <sheetData>
    <row r="1" spans="1:12" ht="21">
      <c r="A1" s="23" t="s">
        <v>0</v>
      </c>
    </row>
    <row r="2" spans="1:12" ht="15.75">
      <c r="A2" s="202" t="s">
        <v>1</v>
      </c>
    </row>
    <row r="3" spans="1:12">
      <c r="A3" s="198" t="s">
        <v>2</v>
      </c>
    </row>
    <row r="4" spans="1:12">
      <c r="E4" s="4"/>
      <c r="K4" t="s">
        <v>6</v>
      </c>
    </row>
    <row r="6" spans="1:12">
      <c r="A6" s="25" t="s">
        <v>21</v>
      </c>
      <c r="B6" s="26"/>
      <c r="C6" s="26"/>
      <c r="D6" s="26"/>
      <c r="E6" s="26"/>
      <c r="F6" s="26"/>
      <c r="G6" s="27"/>
      <c r="H6" s="28"/>
      <c r="I6" s="28"/>
      <c r="J6" s="29"/>
      <c r="K6" s="29"/>
      <c r="L6" s="29"/>
    </row>
    <row r="7" spans="1:1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.7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20.25">
      <c r="A9" s="31" t="s">
        <v>166</v>
      </c>
      <c r="B9" s="28"/>
      <c r="C9" s="28"/>
      <c r="D9" s="28"/>
      <c r="E9" s="28"/>
      <c r="F9" s="28"/>
      <c r="G9" s="28"/>
      <c r="H9" s="28"/>
      <c r="I9" s="28"/>
      <c r="J9" s="28"/>
    </row>
    <row r="10" spans="1:12" ht="15.75" thickBot="1">
      <c r="A10" s="32" t="s">
        <v>6</v>
      </c>
      <c r="B10" s="33" t="s">
        <v>6</v>
      </c>
      <c r="C10" s="33" t="s">
        <v>6</v>
      </c>
      <c r="D10" s="33"/>
      <c r="E10" s="33"/>
      <c r="F10" s="33"/>
      <c r="G10" s="33" t="s">
        <v>6</v>
      </c>
      <c r="H10" s="34"/>
      <c r="I10" s="34"/>
      <c r="J10" s="34"/>
    </row>
    <row r="11" spans="1:12" ht="15.75">
      <c r="A11" s="203"/>
      <c r="B11" s="204"/>
      <c r="C11" s="205"/>
      <c r="D11" s="206" t="s">
        <v>6</v>
      </c>
      <c r="E11" s="207" t="s">
        <v>6</v>
      </c>
      <c r="F11" s="206" t="s">
        <v>6</v>
      </c>
      <c r="G11" s="205"/>
      <c r="H11" s="208" t="s">
        <v>6</v>
      </c>
      <c r="I11" s="209" t="s">
        <v>6</v>
      </c>
      <c r="J11" s="208" t="s">
        <v>6</v>
      </c>
    </row>
    <row r="12" spans="1:12" ht="15.75">
      <c r="A12" s="210"/>
      <c r="B12" s="211"/>
      <c r="C12" s="35"/>
      <c r="D12" s="212" t="s">
        <v>30</v>
      </c>
      <c r="E12" s="40" t="s">
        <v>30</v>
      </c>
      <c r="F12" s="212" t="s">
        <v>30</v>
      </c>
      <c r="G12" s="35"/>
      <c r="H12" s="213" t="s">
        <v>23</v>
      </c>
      <c r="I12" s="35" t="s">
        <v>23</v>
      </c>
      <c r="J12" s="213" t="s">
        <v>23</v>
      </c>
    </row>
    <row r="13" spans="1:12" ht="15.75">
      <c r="A13" s="210" t="s">
        <v>6</v>
      </c>
      <c r="B13" s="211" t="s">
        <v>27</v>
      </c>
      <c r="C13" s="35" t="s">
        <v>28</v>
      </c>
      <c r="D13" s="212" t="s">
        <v>29</v>
      </c>
      <c r="E13" s="40" t="s">
        <v>29</v>
      </c>
      <c r="F13" s="212" t="s">
        <v>25</v>
      </c>
      <c r="G13" s="36" t="s">
        <v>23</v>
      </c>
      <c r="H13" s="211" t="s">
        <v>26</v>
      </c>
      <c r="I13" s="214" t="s">
        <v>32</v>
      </c>
      <c r="J13" s="215" t="s">
        <v>47</v>
      </c>
    </row>
    <row r="14" spans="1:12" ht="16.5" thickBot="1">
      <c r="A14" s="216" t="s">
        <v>34</v>
      </c>
      <c r="B14" s="217" t="s">
        <v>35</v>
      </c>
      <c r="C14" s="38" t="s">
        <v>36</v>
      </c>
      <c r="D14" s="217" t="s">
        <v>37</v>
      </c>
      <c r="E14" s="38" t="s">
        <v>38</v>
      </c>
      <c r="F14" s="217" t="s">
        <v>29</v>
      </c>
      <c r="G14" s="38" t="s">
        <v>29</v>
      </c>
      <c r="H14" s="217" t="s">
        <v>31</v>
      </c>
      <c r="I14" s="38" t="s">
        <v>40</v>
      </c>
      <c r="J14" s="217" t="s">
        <v>40</v>
      </c>
    </row>
    <row r="15" spans="1:12" ht="15.75">
      <c r="A15" s="218" t="s">
        <v>41</v>
      </c>
      <c r="B15" s="219" t="s">
        <v>41</v>
      </c>
      <c r="C15" s="42" t="s">
        <v>41</v>
      </c>
      <c r="D15" s="219" t="s">
        <v>95</v>
      </c>
      <c r="E15" s="42" t="s">
        <v>95</v>
      </c>
      <c r="F15" s="219"/>
      <c r="G15" s="42" t="s">
        <v>41</v>
      </c>
      <c r="H15" s="219" t="s">
        <v>42</v>
      </c>
      <c r="I15" s="42" t="s">
        <v>42</v>
      </c>
      <c r="J15" s="219" t="s">
        <v>42</v>
      </c>
    </row>
    <row r="16" spans="1:12" ht="15.75">
      <c r="A16" s="210"/>
      <c r="B16" s="211"/>
      <c r="C16" s="35"/>
      <c r="D16" s="211"/>
      <c r="E16" s="35"/>
      <c r="F16" s="211"/>
      <c r="G16" s="35"/>
      <c r="H16" s="211"/>
      <c r="I16" s="220"/>
      <c r="J16" s="221"/>
    </row>
    <row r="17" spans="1:13" ht="15.75">
      <c r="A17" s="222" t="s">
        <v>167</v>
      </c>
      <c r="B17" s="223" t="s">
        <v>168</v>
      </c>
      <c r="C17" s="224" t="s">
        <v>169</v>
      </c>
      <c r="D17" s="225">
        <v>62.19</v>
      </c>
      <c r="E17" s="226">
        <v>61.08</v>
      </c>
      <c r="F17" s="227">
        <f>AVERAGE(D17,E17)</f>
        <v>61.634999999999998</v>
      </c>
      <c r="G17" s="226">
        <v>61.94</v>
      </c>
      <c r="H17" s="228">
        <v>52100000</v>
      </c>
      <c r="I17" s="228">
        <v>0</v>
      </c>
      <c r="J17" s="228">
        <f>1593200000+203700000</f>
        <v>1796900000</v>
      </c>
    </row>
    <row r="18" spans="1:13" ht="15.75">
      <c r="A18" s="222" t="s">
        <v>170</v>
      </c>
      <c r="B18" s="223" t="s">
        <v>171</v>
      </c>
      <c r="C18" s="224" t="s">
        <v>169</v>
      </c>
      <c r="D18" s="225">
        <v>51.61</v>
      </c>
      <c r="E18" s="226">
        <v>50.42</v>
      </c>
      <c r="F18" s="227">
        <f t="shared" ref="F18:F32" si="0">AVERAGE(D18,E18)</f>
        <v>51.015000000000001</v>
      </c>
      <c r="G18" s="226">
        <v>51.53</v>
      </c>
      <c r="H18" s="228">
        <v>249868415</v>
      </c>
      <c r="I18" s="229">
        <v>200000000</v>
      </c>
      <c r="J18" s="228">
        <f>6769000000+8000000</f>
        <v>6777000000</v>
      </c>
    </row>
    <row r="19" spans="1:13" ht="15.75">
      <c r="A19" s="222" t="s">
        <v>172</v>
      </c>
      <c r="B19" s="223" t="s">
        <v>173</v>
      </c>
      <c r="C19" s="224" t="s">
        <v>169</v>
      </c>
      <c r="D19" s="225">
        <v>78.11</v>
      </c>
      <c r="E19" s="226">
        <v>76.73</v>
      </c>
      <c r="F19" s="227">
        <f t="shared" si="0"/>
        <v>77.42</v>
      </c>
      <c r="G19" s="230">
        <v>78.06</v>
      </c>
      <c r="H19" s="228">
        <v>253300000</v>
      </c>
      <c r="I19" s="228">
        <v>0</v>
      </c>
      <c r="J19" s="228">
        <f>11078000000+8000000</f>
        <v>11086000000</v>
      </c>
    </row>
    <row r="20" spans="1:13" ht="15.75">
      <c r="A20" s="222" t="s">
        <v>174</v>
      </c>
      <c r="B20" s="223" t="s">
        <v>175</v>
      </c>
      <c r="C20" s="224" t="s">
        <v>169</v>
      </c>
      <c r="D20" s="225">
        <v>83.36</v>
      </c>
      <c r="E20" s="226">
        <v>81.430000000000007</v>
      </c>
      <c r="F20" s="227">
        <f t="shared" si="0"/>
        <v>82.39500000000001</v>
      </c>
      <c r="G20" s="226">
        <v>83.27</v>
      </c>
      <c r="H20" s="228">
        <f>516808354-20204160</f>
        <v>496604194</v>
      </c>
      <c r="I20" s="228">
        <v>0</v>
      </c>
      <c r="J20" s="228">
        <f>28986400000+2086100000</f>
        <v>31072500000</v>
      </c>
    </row>
    <row r="21" spans="1:13" ht="15.75">
      <c r="A21" s="231" t="s">
        <v>176</v>
      </c>
      <c r="B21" s="223" t="s">
        <v>177</v>
      </c>
      <c r="C21" s="224" t="s">
        <v>169</v>
      </c>
      <c r="D21" s="225">
        <v>21.69</v>
      </c>
      <c r="E21" s="226">
        <v>21.25</v>
      </c>
      <c r="F21" s="227">
        <f t="shared" si="0"/>
        <v>21.47</v>
      </c>
      <c r="G21" s="226">
        <v>21.64</v>
      </c>
      <c r="H21" s="228">
        <v>551355861</v>
      </c>
      <c r="I21" s="229">
        <f>(790+950+623)*1000000</f>
        <v>2363000000</v>
      </c>
      <c r="J21" s="228">
        <f>11521000000+211000000+1669000000</f>
        <v>13401000000</v>
      </c>
    </row>
    <row r="22" spans="1:13" ht="15.75">
      <c r="A22" s="222" t="s">
        <v>178</v>
      </c>
      <c r="B22" s="223" t="s">
        <v>179</v>
      </c>
      <c r="C22" s="224" t="s">
        <v>169</v>
      </c>
      <c r="D22" s="225">
        <v>61.09</v>
      </c>
      <c r="E22" s="230">
        <v>59.66</v>
      </c>
      <c r="F22" s="227">
        <f t="shared" si="0"/>
        <v>60.375</v>
      </c>
      <c r="G22" s="230">
        <v>61.01</v>
      </c>
      <c r="H22" s="228">
        <v>288900000</v>
      </c>
      <c r="I22" s="229">
        <v>0</v>
      </c>
      <c r="J22" s="228">
        <f>13634000000+1506000000+56000000</f>
        <v>15196000000</v>
      </c>
      <c r="M22" s="232" t="s">
        <v>6</v>
      </c>
    </row>
    <row r="23" spans="1:13" ht="15.75">
      <c r="A23" s="222" t="s">
        <v>180</v>
      </c>
      <c r="B23" s="223" t="s">
        <v>181</v>
      </c>
      <c r="C23" s="224" t="s">
        <v>169</v>
      </c>
      <c r="D23" s="227">
        <v>121.53</v>
      </c>
      <c r="E23" s="226">
        <v>119.22</v>
      </c>
      <c r="F23" s="227">
        <f t="shared" si="0"/>
        <v>120.375</v>
      </c>
      <c r="G23" s="230">
        <v>121.41</v>
      </c>
      <c r="H23" s="228">
        <v>193770617</v>
      </c>
      <c r="I23" s="229">
        <v>0</v>
      </c>
      <c r="J23" s="228">
        <f>19001000000+469000000</f>
        <v>19470000000</v>
      </c>
    </row>
    <row r="24" spans="1:13" ht="15.75">
      <c r="A24" s="222" t="s">
        <v>182</v>
      </c>
      <c r="B24" s="223" t="s">
        <v>183</v>
      </c>
      <c r="C24" s="224" t="s">
        <v>169</v>
      </c>
      <c r="D24" s="227">
        <v>91.64</v>
      </c>
      <c r="E24" s="226">
        <v>90.27</v>
      </c>
      <c r="F24" s="227">
        <f t="shared" si="0"/>
        <v>90.954999999999998</v>
      </c>
      <c r="G24" s="226">
        <v>91.56</v>
      </c>
      <c r="H24" s="228">
        <v>769000000</v>
      </c>
      <c r="I24" s="229">
        <f>989000000+973000000</f>
        <v>1962000000</v>
      </c>
      <c r="J24" s="228">
        <f>55625000000+4238000000</f>
        <v>59863000000</v>
      </c>
    </row>
    <row r="25" spans="1:13" ht="15.75">
      <c r="A25" s="222" t="s">
        <v>184</v>
      </c>
      <c r="B25" s="223" t="s">
        <v>185</v>
      </c>
      <c r="C25" s="224" t="s">
        <v>169</v>
      </c>
      <c r="D25" s="225">
        <v>99.97</v>
      </c>
      <c r="E25" s="226">
        <v>97.67</v>
      </c>
      <c r="F25" s="227">
        <f t="shared" si="0"/>
        <v>98.82</v>
      </c>
      <c r="G25" s="226">
        <v>99.84</v>
      </c>
      <c r="H25" s="228">
        <f>270035180-69790346</f>
        <v>200244834</v>
      </c>
      <c r="I25" s="229">
        <v>35000000</v>
      </c>
      <c r="J25" s="228">
        <f>21205761000+1164015000</f>
        <v>22369776000</v>
      </c>
    </row>
    <row r="26" spans="1:13" ht="15.75">
      <c r="A26" s="233" t="s">
        <v>186</v>
      </c>
      <c r="B26" s="223" t="s">
        <v>187</v>
      </c>
      <c r="C26" s="224" t="s">
        <v>169</v>
      </c>
      <c r="D26" s="225">
        <v>30.64</v>
      </c>
      <c r="E26" s="226">
        <v>29.87</v>
      </c>
      <c r="F26" s="227">
        <f t="shared" si="0"/>
        <v>30.255000000000003</v>
      </c>
      <c r="G26" s="230">
        <v>30.61</v>
      </c>
      <c r="H26" s="228">
        <v>543117533</v>
      </c>
      <c r="I26" s="229">
        <v>0</v>
      </c>
      <c r="J26" s="228">
        <f>22131000000+146000000</f>
        <v>22277000000</v>
      </c>
    </row>
    <row r="27" spans="1:13" ht="15.75">
      <c r="A27" s="222" t="s">
        <v>188</v>
      </c>
      <c r="B27" s="223" t="s">
        <v>189</v>
      </c>
      <c r="C27" s="224" t="s">
        <v>169</v>
      </c>
      <c r="D27" s="234">
        <v>70.180000000000007</v>
      </c>
      <c r="E27" s="230">
        <v>69.2</v>
      </c>
      <c r="F27" s="227">
        <f t="shared" si="0"/>
        <v>69.69</v>
      </c>
      <c r="G27" s="230">
        <v>70.03</v>
      </c>
      <c r="H27" s="228">
        <v>36163000</v>
      </c>
      <c r="I27" s="229">
        <v>0</v>
      </c>
      <c r="J27" s="228">
        <f>1200000+19300000+70000000+457379000</f>
        <v>547879000</v>
      </c>
    </row>
    <row r="28" spans="1:13" ht="15.75">
      <c r="A28" s="222" t="s">
        <v>190</v>
      </c>
      <c r="B28" s="223" t="s">
        <v>191</v>
      </c>
      <c r="C28" s="224" t="s">
        <v>169</v>
      </c>
      <c r="D28" s="225">
        <v>31.93</v>
      </c>
      <c r="E28" s="226">
        <v>31.4</v>
      </c>
      <c r="F28" s="227">
        <f t="shared" si="0"/>
        <v>31.664999999999999</v>
      </c>
      <c r="G28" s="226">
        <v>31.86</v>
      </c>
      <c r="H28" s="228">
        <v>200100000</v>
      </c>
      <c r="I28" s="229">
        <v>0</v>
      </c>
      <c r="J28" s="228">
        <v>3494400000</v>
      </c>
    </row>
    <row r="29" spans="1:13" ht="15.75">
      <c r="A29" s="222" t="s">
        <v>192</v>
      </c>
      <c r="B29" s="223" t="s">
        <v>193</v>
      </c>
      <c r="C29" s="224" t="s">
        <v>169</v>
      </c>
      <c r="D29" s="225">
        <v>42.85</v>
      </c>
      <c r="E29" s="230">
        <v>42.15</v>
      </c>
      <c r="F29" s="227">
        <f t="shared" si="0"/>
        <v>42.5</v>
      </c>
      <c r="G29" s="230">
        <v>42.61</v>
      </c>
      <c r="H29" s="228">
        <v>41469879</v>
      </c>
      <c r="I29" s="229">
        <v>0</v>
      </c>
      <c r="J29" s="228">
        <f>624432000+140087000</f>
        <v>764519000</v>
      </c>
    </row>
    <row r="30" spans="1:13" ht="15.75">
      <c r="A30" s="222" t="s">
        <v>194</v>
      </c>
      <c r="B30" s="223" t="s">
        <v>195</v>
      </c>
      <c r="C30" s="224" t="s">
        <v>169</v>
      </c>
      <c r="D30" s="225">
        <v>28.22</v>
      </c>
      <c r="E30" s="230">
        <v>27.46</v>
      </c>
      <c r="F30" s="227">
        <f t="shared" si="0"/>
        <v>27.84</v>
      </c>
      <c r="G30" s="230">
        <v>28.2</v>
      </c>
      <c r="H30" s="228">
        <v>768907000</v>
      </c>
      <c r="I30" s="229">
        <v>0</v>
      </c>
      <c r="J30" s="228">
        <f>21553000000+1574000000</f>
        <v>23127000000</v>
      </c>
    </row>
    <row r="31" spans="1:13" ht="15.75">
      <c r="A31" s="222" t="s">
        <v>196</v>
      </c>
      <c r="B31" s="223" t="s">
        <v>197</v>
      </c>
      <c r="C31" s="224" t="s">
        <v>169</v>
      </c>
      <c r="D31" s="225">
        <v>61.48</v>
      </c>
      <c r="E31" s="230">
        <v>60.45</v>
      </c>
      <c r="F31" s="227">
        <f t="shared" si="0"/>
        <v>60.965000000000003</v>
      </c>
      <c r="G31" s="230">
        <v>61.43</v>
      </c>
      <c r="H31" s="228">
        <f>1100000000-1000000</f>
        <v>1099000000</v>
      </c>
      <c r="I31" s="229">
        <v>291000000</v>
      </c>
      <c r="J31" s="228">
        <f>3507000000+45073000000</f>
        <v>48580000000</v>
      </c>
    </row>
    <row r="32" spans="1:13" ht="16.5" thickBot="1">
      <c r="A32" s="235" t="s">
        <v>198</v>
      </c>
      <c r="B32" s="236" t="s">
        <v>199</v>
      </c>
      <c r="C32" s="237" t="s">
        <v>169</v>
      </c>
      <c r="D32" s="238">
        <v>92.08</v>
      </c>
      <c r="E32" s="239">
        <v>90.19</v>
      </c>
      <c r="F32" s="240">
        <f t="shared" si="0"/>
        <v>91.134999999999991</v>
      </c>
      <c r="G32" s="239">
        <v>92.03</v>
      </c>
      <c r="H32" s="241">
        <v>325000000</v>
      </c>
      <c r="I32" s="129">
        <f>30400000</f>
        <v>30400000</v>
      </c>
      <c r="J32" s="241">
        <f>11728100000+785800000</f>
        <v>12513900000</v>
      </c>
    </row>
    <row r="33" spans="1:12" ht="15.75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2" ht="15.75">
      <c r="A34" s="49"/>
      <c r="B34" s="49"/>
      <c r="C34" s="49"/>
      <c r="D34" s="49"/>
      <c r="E34" s="49"/>
      <c r="F34" s="49"/>
      <c r="G34" s="49"/>
      <c r="H34" s="49"/>
      <c r="I34" s="49"/>
      <c r="J34" s="49" t="s">
        <v>6</v>
      </c>
    </row>
    <row r="35" spans="1:12" ht="16.5" thickBot="1">
      <c r="A35" s="242" t="s">
        <v>6</v>
      </c>
      <c r="B35" s="48"/>
      <c r="C35" s="48"/>
      <c r="D35" s="48"/>
      <c r="E35" s="48"/>
      <c r="F35" s="5"/>
      <c r="G35" s="48"/>
      <c r="H35" s="48"/>
      <c r="I35" s="48"/>
      <c r="J35" s="49"/>
      <c r="K35" s="49"/>
      <c r="L35" s="49"/>
    </row>
    <row r="36" spans="1:12" ht="15.75">
      <c r="A36" s="49"/>
      <c r="B36" s="49"/>
      <c r="C36" s="49"/>
      <c r="D36" s="49"/>
      <c r="E36" s="36" t="s">
        <v>6</v>
      </c>
      <c r="G36" s="49"/>
      <c r="H36" s="49"/>
      <c r="I36" s="49"/>
      <c r="J36" s="49"/>
      <c r="K36" s="49"/>
      <c r="L36" s="49"/>
    </row>
    <row r="37" spans="1:12" ht="15.75">
      <c r="A37" s="35"/>
      <c r="B37" s="35"/>
      <c r="C37" s="35"/>
      <c r="D37" s="36" t="s">
        <v>23</v>
      </c>
      <c r="E37" s="35" t="s">
        <v>23</v>
      </c>
      <c r="F37" s="36" t="s">
        <v>23</v>
      </c>
      <c r="G37" s="36" t="s">
        <v>23</v>
      </c>
      <c r="H37" s="36" t="s">
        <v>23</v>
      </c>
      <c r="I37" s="36" t="s">
        <v>23</v>
      </c>
      <c r="J37" s="36" t="s">
        <v>6</v>
      </c>
      <c r="L37" s="2"/>
    </row>
    <row r="38" spans="1:12" ht="15.75">
      <c r="A38" s="35" t="s">
        <v>6</v>
      </c>
      <c r="B38" s="35" t="s">
        <v>27</v>
      </c>
      <c r="C38" s="35" t="s">
        <v>28</v>
      </c>
      <c r="D38" s="35" t="s">
        <v>26</v>
      </c>
      <c r="E38" s="37" t="s">
        <v>200</v>
      </c>
      <c r="F38" s="35" t="s">
        <v>201</v>
      </c>
      <c r="G38" s="37" t="s">
        <v>48</v>
      </c>
      <c r="H38" s="37" t="s">
        <v>49</v>
      </c>
      <c r="I38" s="37" t="s">
        <v>202</v>
      </c>
      <c r="J38" s="37" t="s">
        <v>6</v>
      </c>
      <c r="L38" s="2"/>
    </row>
    <row r="39" spans="1:12" ht="16.5" thickBot="1">
      <c r="A39" s="38" t="s">
        <v>34</v>
      </c>
      <c r="B39" s="38" t="s">
        <v>35</v>
      </c>
      <c r="C39" s="38" t="s">
        <v>36</v>
      </c>
      <c r="D39" s="38" t="s">
        <v>51</v>
      </c>
      <c r="E39" s="38" t="s">
        <v>51</v>
      </c>
      <c r="F39" s="38" t="s">
        <v>51</v>
      </c>
      <c r="G39" s="38" t="s">
        <v>52</v>
      </c>
      <c r="H39" s="38" t="s">
        <v>6</v>
      </c>
      <c r="I39" s="38" t="s">
        <v>6</v>
      </c>
      <c r="J39" s="35" t="s">
        <v>6</v>
      </c>
      <c r="L39" s="243"/>
    </row>
    <row r="40" spans="1:12" ht="15.75">
      <c r="A40" s="42" t="s">
        <v>41</v>
      </c>
      <c r="B40" s="42" t="s">
        <v>41</v>
      </c>
      <c r="C40" s="42" t="s">
        <v>41</v>
      </c>
      <c r="D40" s="42" t="s">
        <v>53</v>
      </c>
      <c r="E40" s="42" t="s">
        <v>42</v>
      </c>
      <c r="F40" s="42" t="s">
        <v>42</v>
      </c>
      <c r="G40" s="42" t="s">
        <v>53</v>
      </c>
      <c r="H40" s="42" t="s">
        <v>53</v>
      </c>
      <c r="I40" s="42" t="s">
        <v>53</v>
      </c>
      <c r="J40" s="35"/>
      <c r="L40" s="224"/>
    </row>
    <row r="41" spans="1:12" ht="15.75">
      <c r="A41" s="35"/>
      <c r="B41" s="35"/>
      <c r="C41" s="35"/>
      <c r="D41" s="49"/>
      <c r="E41" s="49"/>
      <c r="F41" s="49"/>
      <c r="G41" s="44"/>
      <c r="H41" s="44"/>
      <c r="I41" s="44"/>
      <c r="J41" s="44" t="s">
        <v>6</v>
      </c>
      <c r="L41" s="49"/>
    </row>
    <row r="42" spans="1:12" ht="15.75">
      <c r="A42" s="24" t="str">
        <f>+A17</f>
        <v>Allete</v>
      </c>
      <c r="B42" s="2" t="str">
        <f>+B17</f>
        <v>ALE</v>
      </c>
      <c r="C42" s="2" t="str">
        <f>+C17</f>
        <v>Electric Utility</v>
      </c>
      <c r="D42" s="52">
        <f>(+H17)*G17</f>
        <v>3227074000</v>
      </c>
      <c r="E42" s="244">
        <f>(1/1)*I17</f>
        <v>0</v>
      </c>
      <c r="F42" s="52">
        <f>J17*(2122/1806.4)</f>
        <v>2110840234.7209921</v>
      </c>
      <c r="G42" s="47">
        <f>+D42+E42+F42</f>
        <v>5337914234.7209921</v>
      </c>
      <c r="H42" s="161">
        <f t="shared" ref="H42:H57" si="1">(+D42)/G42</f>
        <v>0.60455710940598806</v>
      </c>
      <c r="I42" s="161">
        <f>(+E42+F42)/G42</f>
        <v>0.39544289059401189</v>
      </c>
      <c r="J42" s="57" t="s">
        <v>6</v>
      </c>
      <c r="L42" s="49"/>
    </row>
    <row r="43" spans="1:12" ht="15.75">
      <c r="A43" s="24" t="str">
        <f t="shared" ref="A43:C57" si="2">+A18</f>
        <v>Alliant Energy</v>
      </c>
      <c r="B43" s="2" t="str">
        <f t="shared" si="2"/>
        <v>LNT</v>
      </c>
      <c r="C43" s="2" t="str">
        <f t="shared" si="2"/>
        <v>Electric Utility</v>
      </c>
      <c r="D43" s="52">
        <f t="shared" ref="D43:D57" si="3">(+H18)*G18</f>
        <v>12875719424.950001</v>
      </c>
      <c r="E43" s="52">
        <f>(194.8/200)*I18</f>
        <v>194800000.00000003</v>
      </c>
      <c r="F43" s="52">
        <f>J18*(8109/6777)</f>
        <v>8109000000</v>
      </c>
      <c r="G43" s="47">
        <f t="shared" ref="G43:G57" si="4">+D43+E43+F43</f>
        <v>21179519424.950001</v>
      </c>
      <c r="H43" s="161">
        <f t="shared" si="1"/>
        <v>0.60793255817608793</v>
      </c>
      <c r="I43" s="161">
        <f t="shared" ref="I43:I57" si="5">(+E43+F43)/G43</f>
        <v>0.39206744182391207</v>
      </c>
      <c r="J43" s="57" t="s">
        <v>6</v>
      </c>
      <c r="L43" s="49"/>
    </row>
    <row r="44" spans="1:12" ht="15.75">
      <c r="A44" s="24" t="str">
        <f t="shared" si="2"/>
        <v>AMEREN</v>
      </c>
      <c r="B44" s="2" t="str">
        <f t="shared" si="2"/>
        <v>AEE</v>
      </c>
      <c r="C44" s="2" t="str">
        <f t="shared" si="2"/>
        <v>Electric Utility</v>
      </c>
      <c r="D44" s="52">
        <f t="shared" si="3"/>
        <v>19772598000</v>
      </c>
      <c r="E44" s="244">
        <f>(1/1)*I19</f>
        <v>0</v>
      </c>
      <c r="F44" s="52">
        <f>J19*(13315/11086)</f>
        <v>13315000000</v>
      </c>
      <c r="G44" s="47">
        <f t="shared" si="4"/>
        <v>33087598000</v>
      </c>
      <c r="H44" s="161">
        <f t="shared" si="1"/>
        <v>0.59758336038778037</v>
      </c>
      <c r="I44" s="161">
        <f t="shared" si="5"/>
        <v>0.40241663961221968</v>
      </c>
      <c r="J44" s="57" t="s">
        <v>6</v>
      </c>
      <c r="L44" s="49"/>
    </row>
    <row r="45" spans="1:12" ht="15.75">
      <c r="A45" s="24" t="str">
        <f t="shared" si="2"/>
        <v>American Electric Power</v>
      </c>
      <c r="B45" s="2" t="str">
        <f t="shared" si="2"/>
        <v>AEP</v>
      </c>
      <c r="C45" s="2" t="str">
        <f t="shared" si="2"/>
        <v>Electric Utility</v>
      </c>
      <c r="D45" s="52">
        <f t="shared" si="3"/>
        <v>41352231234.379997</v>
      </c>
      <c r="E45" s="244">
        <f t="shared" ref="E45:E56" si="6">(1/1)*I20</f>
        <v>0</v>
      </c>
      <c r="F45" s="245">
        <f>J20*((37457/31072.5))</f>
        <v>37457000000</v>
      </c>
      <c r="G45" s="47">
        <f t="shared" si="4"/>
        <v>78809231234.380005</v>
      </c>
      <c r="H45" s="161">
        <f t="shared" si="1"/>
        <v>0.52471303915397616</v>
      </c>
      <c r="I45" s="161">
        <f t="shared" si="5"/>
        <v>0.47528696084602373</v>
      </c>
      <c r="J45" s="57" t="s">
        <v>6</v>
      </c>
      <c r="L45" s="49"/>
    </row>
    <row r="46" spans="1:12" ht="15.75">
      <c r="A46" s="24" t="str">
        <f t="shared" si="2"/>
        <v>Centerpoint Energy</v>
      </c>
      <c r="B46" s="2" t="str">
        <f t="shared" si="2"/>
        <v>CNP</v>
      </c>
      <c r="C46" s="2" t="str">
        <f t="shared" si="2"/>
        <v>Electric Utility</v>
      </c>
      <c r="D46" s="52">
        <f t="shared" si="3"/>
        <v>11931340832.040001</v>
      </c>
      <c r="E46" s="52">
        <f>(1/1)*I21</f>
        <v>2363000000</v>
      </c>
      <c r="F46" s="47">
        <f>J21*(15226/13401)</f>
        <v>15226000000</v>
      </c>
      <c r="G46" s="47">
        <f t="shared" si="4"/>
        <v>29520340832.040001</v>
      </c>
      <c r="H46" s="161">
        <f t="shared" si="1"/>
        <v>0.40417354596022415</v>
      </c>
      <c r="I46" s="161">
        <f t="shared" si="5"/>
        <v>0.59582645403977585</v>
      </c>
      <c r="J46" s="57"/>
      <c r="L46" s="49"/>
    </row>
    <row r="47" spans="1:12" ht="15.75">
      <c r="A47" s="24" t="str">
        <f t="shared" si="2"/>
        <v>CMS Energy</v>
      </c>
      <c r="B47" s="2" t="str">
        <f t="shared" si="2"/>
        <v>CMS</v>
      </c>
      <c r="C47" s="2" t="str">
        <f t="shared" si="2"/>
        <v>Electric Utility</v>
      </c>
      <c r="D47" s="52">
        <f t="shared" si="3"/>
        <v>17625789000</v>
      </c>
      <c r="E47" s="52">
        <f t="shared" si="6"/>
        <v>0</v>
      </c>
      <c r="F47" s="47">
        <f>J22*(17512/15120)</f>
        <v>17600023280.423283</v>
      </c>
      <c r="G47" s="47">
        <f t="shared" si="4"/>
        <v>35225812280.423279</v>
      </c>
      <c r="H47" s="161">
        <f t="shared" si="1"/>
        <v>0.50036572214959318</v>
      </c>
      <c r="I47" s="161">
        <f t="shared" si="5"/>
        <v>0.49963427785040698</v>
      </c>
      <c r="J47" s="57"/>
      <c r="L47" s="49"/>
    </row>
    <row r="48" spans="1:12" ht="15.75">
      <c r="A48" s="24" t="str">
        <f t="shared" si="2"/>
        <v>DTE Energy</v>
      </c>
      <c r="B48" s="2" t="str">
        <f t="shared" si="2"/>
        <v>DTE</v>
      </c>
      <c r="C48" s="2" t="str">
        <f t="shared" si="2"/>
        <v>Electric Utility</v>
      </c>
      <c r="D48" s="52">
        <f t="shared" si="3"/>
        <v>23525690609.970001</v>
      </c>
      <c r="E48" s="52">
        <f t="shared" si="6"/>
        <v>0</v>
      </c>
      <c r="F48" s="52">
        <f>J23*((2547+18230+1397)/19439)</f>
        <v>22209361592.674519</v>
      </c>
      <c r="G48" s="47">
        <f t="shared" si="4"/>
        <v>45735052202.644516</v>
      </c>
      <c r="H48" s="161">
        <f t="shared" si="1"/>
        <v>0.5143908113569331</v>
      </c>
      <c r="I48" s="161">
        <f t="shared" si="5"/>
        <v>0.48560918864306701</v>
      </c>
      <c r="J48" s="57" t="s">
        <v>6</v>
      </c>
      <c r="L48" s="49"/>
    </row>
    <row r="49" spans="1:12" ht="15.75">
      <c r="A49" s="24" t="str">
        <f t="shared" si="2"/>
        <v>Duke Energy</v>
      </c>
      <c r="B49" s="2" t="s">
        <v>183</v>
      </c>
      <c r="C49" s="2" t="str">
        <f>+C24</f>
        <v>Electric Utility</v>
      </c>
      <c r="D49" s="52">
        <f t="shared" si="3"/>
        <v>70409640000</v>
      </c>
      <c r="E49" s="52">
        <f t="shared" si="6"/>
        <v>1962000000</v>
      </c>
      <c r="F49" s="52">
        <f>J24*(69292/59863)</f>
        <v>69292000000</v>
      </c>
      <c r="G49" s="47">
        <f t="shared" si="4"/>
        <v>141663640000</v>
      </c>
      <c r="H49" s="161">
        <f t="shared" si="1"/>
        <v>0.49701984221215834</v>
      </c>
      <c r="I49" s="161">
        <f t="shared" si="5"/>
        <v>0.50298015778784166</v>
      </c>
      <c r="J49" s="57"/>
      <c r="L49" s="49"/>
    </row>
    <row r="50" spans="1:12" ht="15.75">
      <c r="A50" s="24" t="str">
        <f t="shared" si="2"/>
        <v>Entergy Corp</v>
      </c>
      <c r="B50" s="2" t="s">
        <v>185</v>
      </c>
      <c r="C50" s="2" t="str">
        <f>+C25</f>
        <v>Electric Utility</v>
      </c>
      <c r="D50" s="52">
        <f t="shared" si="3"/>
        <v>19992444226.560001</v>
      </c>
      <c r="E50" s="52">
        <f t="shared" si="6"/>
        <v>35000000</v>
      </c>
      <c r="F50" s="52">
        <v>24813818000</v>
      </c>
      <c r="G50" s="47">
        <f t="shared" si="4"/>
        <v>44841262226.559998</v>
      </c>
      <c r="H50" s="161">
        <f t="shared" si="1"/>
        <v>0.4458492743925983</v>
      </c>
      <c r="I50" s="161">
        <f t="shared" si="5"/>
        <v>0.55415072560740175</v>
      </c>
      <c r="J50" s="57"/>
      <c r="L50" s="49"/>
    </row>
    <row r="51" spans="1:12" ht="15.75">
      <c r="A51" s="24" t="str">
        <f t="shared" si="2"/>
        <v>FirstEnergy Solutions Corp</v>
      </c>
      <c r="B51" s="2" t="s">
        <v>187</v>
      </c>
      <c r="C51" s="2" t="s">
        <v>169</v>
      </c>
      <c r="D51" s="52">
        <f t="shared" si="3"/>
        <v>16624827685.129999</v>
      </c>
      <c r="E51" s="52">
        <f t="shared" si="6"/>
        <v>0</v>
      </c>
      <c r="F51" s="52">
        <f>J26*(25465/22377)</f>
        <v>25351200116.190731</v>
      </c>
      <c r="G51" s="47">
        <f t="shared" si="4"/>
        <v>41976027801.320732</v>
      </c>
      <c r="H51" s="161">
        <f t="shared" si="1"/>
        <v>0.39605528574113713</v>
      </c>
      <c r="I51" s="161">
        <f t="shared" si="5"/>
        <v>0.60394471425886287</v>
      </c>
      <c r="J51" s="57"/>
      <c r="L51" s="49"/>
    </row>
    <row r="52" spans="1:12" ht="15.75">
      <c r="A52" s="24" t="str">
        <f t="shared" si="2"/>
        <v>MGE Energy</v>
      </c>
      <c r="B52" s="2" t="str">
        <f t="shared" si="2"/>
        <v>MGEE</v>
      </c>
      <c r="C52" s="2" t="str">
        <f t="shared" si="2"/>
        <v>Electric Utility</v>
      </c>
      <c r="D52" s="52">
        <f t="shared" si="3"/>
        <v>2532494890</v>
      </c>
      <c r="E52" s="52">
        <f t="shared" si="6"/>
        <v>0</v>
      </c>
      <c r="F52" s="52">
        <f>J27*(639271/528220)</f>
        <v>663063034.73741996</v>
      </c>
      <c r="G52" s="47">
        <f t="shared" si="4"/>
        <v>3195557924.7374201</v>
      </c>
      <c r="H52" s="161">
        <f t="shared" si="1"/>
        <v>0.79250476744466958</v>
      </c>
      <c r="I52" s="161">
        <f t="shared" si="5"/>
        <v>0.20749523255533039</v>
      </c>
      <c r="J52" s="57" t="s">
        <v>6</v>
      </c>
      <c r="L52" s="49"/>
    </row>
    <row r="53" spans="1:12" ht="15.75">
      <c r="A53" s="24" t="str">
        <f t="shared" si="2"/>
        <v>OGE Energy Corp.</v>
      </c>
      <c r="B53" s="2" t="str">
        <f t="shared" si="2"/>
        <v>OGE</v>
      </c>
      <c r="C53" s="2" t="str">
        <f t="shared" si="2"/>
        <v>Electric Utility</v>
      </c>
      <c r="D53" s="52">
        <f t="shared" si="3"/>
        <v>6375186000</v>
      </c>
      <c r="E53" s="52">
        <f t="shared" si="6"/>
        <v>0</v>
      </c>
      <c r="F53" s="52">
        <f>J28*((4182.1+135.4+10.7)/(3349.6+135.4+9.4))</f>
        <v>4328200000</v>
      </c>
      <c r="G53" s="47">
        <f t="shared" si="4"/>
        <v>10703386000</v>
      </c>
      <c r="H53" s="161">
        <f t="shared" si="1"/>
        <v>0.59562329154531102</v>
      </c>
      <c r="I53" s="161">
        <f t="shared" si="5"/>
        <v>0.40437670845468904</v>
      </c>
      <c r="J53" s="57" t="s">
        <v>6</v>
      </c>
      <c r="L53" s="49"/>
    </row>
    <row r="54" spans="1:12" ht="15.75">
      <c r="A54" s="24" t="str">
        <f t="shared" si="2"/>
        <v>Otter Tail Corp</v>
      </c>
      <c r="B54" s="2" t="str">
        <f t="shared" si="2"/>
        <v>OTTR</v>
      </c>
      <c r="C54" s="2" t="str">
        <f t="shared" si="2"/>
        <v>Electric Utility</v>
      </c>
      <c r="D54" s="52">
        <f t="shared" si="3"/>
        <v>1767031544.1900001</v>
      </c>
      <c r="E54" s="52">
        <f t="shared" si="6"/>
        <v>0</v>
      </c>
      <c r="F54" s="52">
        <f>J29*(858455/764519)</f>
        <v>858454999.99999988</v>
      </c>
      <c r="G54" s="47">
        <f t="shared" si="4"/>
        <v>2625486544.1900001</v>
      </c>
      <c r="H54" s="161">
        <f t="shared" si="1"/>
        <v>0.67303012773015536</v>
      </c>
      <c r="I54" s="161">
        <f t="shared" si="5"/>
        <v>0.32696987226984453</v>
      </c>
      <c r="J54" s="57" t="s">
        <v>6</v>
      </c>
      <c r="L54" s="49"/>
    </row>
    <row r="55" spans="1:12" ht="15.75">
      <c r="A55" s="24" t="str">
        <f t="shared" si="2"/>
        <v>PPL Corporation</v>
      </c>
      <c r="B55" s="2" t="s">
        <v>195</v>
      </c>
      <c r="C55" s="2" t="str">
        <f>+C30</f>
        <v>Electric Utility</v>
      </c>
      <c r="D55" s="52">
        <f t="shared" si="3"/>
        <v>21683177400</v>
      </c>
      <c r="E55" s="52">
        <f t="shared" si="6"/>
        <v>0</v>
      </c>
      <c r="F55" s="52">
        <f>J30*(28765000000/23127000000)</f>
        <v>28765000000.000004</v>
      </c>
      <c r="G55" s="47">
        <f t="shared" si="4"/>
        <v>50448177400</v>
      </c>
      <c r="H55" s="161">
        <f t="shared" si="1"/>
        <v>0.42981091721264048</v>
      </c>
      <c r="I55" s="161">
        <f t="shared" si="5"/>
        <v>0.57018908278735958</v>
      </c>
      <c r="J55" s="57"/>
      <c r="L55" s="49"/>
    </row>
    <row r="56" spans="1:12" ht="15.75">
      <c r="A56" s="24" t="str">
        <f t="shared" si="2"/>
        <v>Southern</v>
      </c>
      <c r="B56" s="2" t="s">
        <v>197</v>
      </c>
      <c r="C56" s="2" t="str">
        <f>+C31</f>
        <v>Electric Utility</v>
      </c>
      <c r="D56" s="52">
        <f t="shared" si="3"/>
        <v>67511570000</v>
      </c>
      <c r="E56" s="52">
        <f t="shared" si="6"/>
        <v>291000000</v>
      </c>
      <c r="F56" s="52">
        <f>J31*(56264/48349)</f>
        <v>56532815983.784569</v>
      </c>
      <c r="G56" s="47">
        <f t="shared" si="4"/>
        <v>124335385983.78458</v>
      </c>
      <c r="H56" s="161">
        <f t="shared" si="1"/>
        <v>0.54297953447303127</v>
      </c>
      <c r="I56" s="161">
        <f t="shared" si="5"/>
        <v>0.45702046552696873</v>
      </c>
      <c r="J56" s="57"/>
      <c r="L56" s="49"/>
    </row>
    <row r="57" spans="1:12" ht="15.75">
      <c r="A57" s="24" t="str">
        <f t="shared" si="2"/>
        <v>WEC Energy Group</v>
      </c>
      <c r="B57" s="2" t="str">
        <f t="shared" si="2"/>
        <v>WEC</v>
      </c>
      <c r="C57" s="2" t="str">
        <f t="shared" si="2"/>
        <v>Electric Utility</v>
      </c>
      <c r="D57" s="52">
        <f t="shared" si="3"/>
        <v>29909750000</v>
      </c>
      <c r="E57" s="52">
        <v>32300000</v>
      </c>
      <c r="F57" s="52">
        <f>J32*(14343.2/12450.5)</f>
        <v>14416237940.644957</v>
      </c>
      <c r="G57" s="47">
        <f t="shared" si="4"/>
        <v>44358287940.644958</v>
      </c>
      <c r="H57" s="161">
        <f t="shared" si="1"/>
        <v>0.6742764743315095</v>
      </c>
      <c r="I57" s="161">
        <f t="shared" si="5"/>
        <v>0.32572352566849039</v>
      </c>
    </row>
    <row r="58" spans="1:12" ht="16.5" thickBot="1">
      <c r="A58" s="48"/>
      <c r="B58" s="48"/>
      <c r="C58" s="48"/>
      <c r="D58" s="48"/>
      <c r="E58" s="48"/>
      <c r="F58" s="48"/>
      <c r="G58" s="48"/>
      <c r="H58" s="48"/>
      <c r="I58" s="48"/>
    </row>
    <row r="60" spans="1:12" ht="15.75">
      <c r="J60" s="57" t="s">
        <v>6</v>
      </c>
    </row>
    <row r="61" spans="1:12" ht="15.75">
      <c r="C61" s="132" t="s">
        <v>6</v>
      </c>
      <c r="D61" s="87" t="s">
        <v>6</v>
      </c>
      <c r="E61" s="87"/>
      <c r="F61" t="s">
        <v>6</v>
      </c>
      <c r="G61" s="87" t="s">
        <v>55</v>
      </c>
      <c r="H61" s="194" t="s">
        <v>203</v>
      </c>
      <c r="I61" s="194" t="s">
        <v>204</v>
      </c>
      <c r="J61" s="58" t="s">
        <v>6</v>
      </c>
    </row>
    <row r="62" spans="1:12" ht="15.75">
      <c r="C62" s="132" t="s">
        <v>6</v>
      </c>
      <c r="D62" s="133" t="s">
        <v>6</v>
      </c>
      <c r="E62" s="133"/>
      <c r="F62" t="s">
        <v>6</v>
      </c>
      <c r="G62" s="87" t="s">
        <v>57</v>
      </c>
      <c r="H62" s="246">
        <f>MEDIAN(H42:H57)</f>
        <v>0.53384628681350366</v>
      </c>
      <c r="I62" s="54">
        <f>MEDIAN(I42:I57)</f>
        <v>0.46615371318649623</v>
      </c>
      <c r="J62" s="12" t="s">
        <v>6</v>
      </c>
    </row>
    <row r="63" spans="1:12" ht="15.75">
      <c r="C63" s="132" t="s">
        <v>6</v>
      </c>
      <c r="D63" s="133" t="s">
        <v>6</v>
      </c>
      <c r="E63" s="133"/>
      <c r="F63" t="s">
        <v>6</v>
      </c>
      <c r="G63" s="87" t="s">
        <v>25</v>
      </c>
      <c r="H63" s="246">
        <f>AVERAGE(H42:H57)</f>
        <v>0.55005410385461218</v>
      </c>
      <c r="I63" s="54">
        <f>AVERAGE(I42:I57)</f>
        <v>0.44994589614538788</v>
      </c>
      <c r="J63" s="12" t="s">
        <v>6</v>
      </c>
    </row>
    <row r="64" spans="1:12" ht="15.75">
      <c r="H64" s="157"/>
      <c r="I64" s="157"/>
      <c r="J64" s="24" t="s">
        <v>6</v>
      </c>
    </row>
    <row r="65" spans="7:10" ht="21">
      <c r="G65" s="61" t="s">
        <v>20</v>
      </c>
      <c r="H65" s="247">
        <v>0.53</v>
      </c>
      <c r="I65" s="163">
        <v>0.47</v>
      </c>
      <c r="J65" s="248" t="s">
        <v>6</v>
      </c>
    </row>
    <row r="66" spans="7:10" ht="15.75">
      <c r="I66" s="24"/>
      <c r="J66" s="24" t="s">
        <v>6</v>
      </c>
    </row>
  </sheetData>
  <pageMargins left="0.25" right="0.25" top="0.75" bottom="0.75" header="0.3" footer="0.3"/>
  <pageSetup scale="41" orientation="landscape" r:id="rId1"/>
  <rowBreaks count="2" manualBreakCount="2">
    <brk id="65" max="10" man="1"/>
    <brk id="69" max="10" man="1"/>
  </rowBreaks>
  <colBreaks count="1" manualBreakCount="1">
    <brk id="11" max="71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0"/>
  <sheetViews>
    <sheetView zoomScaleNormal="100" workbookViewId="0">
      <selection activeCell="H18" sqref="H18"/>
    </sheetView>
  </sheetViews>
  <sheetFormatPr defaultRowHeight="15"/>
  <cols>
    <col min="1" max="1" width="45.140625" customWidth="1"/>
    <col min="2" max="2" width="10.85546875" bestFit="1" customWidth="1"/>
    <col min="3" max="3" width="12.5703125" bestFit="1" customWidth="1"/>
    <col min="4" max="4" width="12.5703125" customWidth="1"/>
    <col min="5" max="5" width="12.28515625" customWidth="1"/>
    <col min="6" max="6" width="10.85546875" customWidth="1"/>
    <col min="7" max="7" width="12.85546875" customWidth="1"/>
    <col min="8" max="8" width="23.140625" bestFit="1" customWidth="1"/>
    <col min="9" max="9" width="15.140625" customWidth="1"/>
    <col min="10" max="10" width="15.5703125" customWidth="1"/>
    <col min="11" max="11" width="13.140625" customWidth="1"/>
  </cols>
  <sheetData>
    <row r="1" spans="1:13" ht="21">
      <c r="A1" s="23" t="s">
        <v>0</v>
      </c>
    </row>
    <row r="2" spans="1:13" ht="15.75">
      <c r="A2" s="24" t="s">
        <v>1</v>
      </c>
    </row>
    <row r="3" spans="1:13">
      <c r="A3" s="22" t="s">
        <v>2</v>
      </c>
    </row>
    <row r="4" spans="1:13">
      <c r="F4" s="4" t="s">
        <v>6</v>
      </c>
    </row>
    <row r="5" spans="1:13" ht="15.75">
      <c r="A5" s="76" t="s">
        <v>22</v>
      </c>
    </row>
    <row r="6" spans="1:13" ht="15.75" thickBot="1">
      <c r="A6" s="77" t="s">
        <v>6</v>
      </c>
      <c r="B6" s="77" t="s">
        <v>6</v>
      </c>
      <c r="C6" s="77" t="s">
        <v>6</v>
      </c>
      <c r="D6" s="77"/>
      <c r="E6" s="77"/>
      <c r="F6" s="77" t="s">
        <v>6</v>
      </c>
      <c r="G6" s="77" t="s">
        <v>6</v>
      </c>
      <c r="H6" s="77" t="s">
        <v>6</v>
      </c>
      <c r="I6" s="5"/>
    </row>
    <row r="7" spans="1:13">
      <c r="A7" s="8" t="s">
        <v>6</v>
      </c>
      <c r="B7" s="8" t="s">
        <v>27</v>
      </c>
      <c r="C7" s="8" t="s">
        <v>28</v>
      </c>
      <c r="D7" s="8" t="s">
        <v>63</v>
      </c>
      <c r="E7" s="8" t="s">
        <v>64</v>
      </c>
      <c r="F7" s="8" t="s">
        <v>65</v>
      </c>
      <c r="G7" s="8" t="s">
        <v>66</v>
      </c>
      <c r="H7" s="8" t="s">
        <v>67</v>
      </c>
      <c r="I7" s="8" t="s">
        <v>68</v>
      </c>
    </row>
    <row r="8" spans="1:13" ht="15.75" thickBot="1">
      <c r="A8" s="7" t="s">
        <v>34</v>
      </c>
      <c r="B8" s="7" t="s">
        <v>35</v>
      </c>
      <c r="C8" s="7" t="s">
        <v>36</v>
      </c>
      <c r="D8" s="7"/>
      <c r="E8" s="7" t="s">
        <v>69</v>
      </c>
      <c r="F8" s="7" t="s">
        <v>70</v>
      </c>
      <c r="G8" s="7" t="s">
        <v>71</v>
      </c>
      <c r="H8" s="7" t="s">
        <v>71</v>
      </c>
      <c r="I8" s="7" t="s">
        <v>72</v>
      </c>
    </row>
    <row r="9" spans="1:13">
      <c r="A9" s="9" t="s">
        <v>41</v>
      </c>
      <c r="B9" s="9" t="s">
        <v>41</v>
      </c>
      <c r="C9" s="9" t="s">
        <v>41</v>
      </c>
      <c r="D9" s="9" t="s">
        <v>41</v>
      </c>
      <c r="E9" s="9" t="s">
        <v>41</v>
      </c>
      <c r="F9" s="9" t="s">
        <v>41</v>
      </c>
      <c r="G9" s="9" t="s">
        <v>66</v>
      </c>
      <c r="H9" s="9" t="s">
        <v>102</v>
      </c>
      <c r="I9" s="9" t="s">
        <v>68</v>
      </c>
    </row>
    <row r="10" spans="1:13">
      <c r="A10" s="8"/>
      <c r="B10" s="8"/>
      <c r="C10" s="8"/>
      <c r="D10" s="8"/>
      <c r="E10" s="8"/>
      <c r="F10" s="8"/>
      <c r="G10" s="8"/>
      <c r="H10" s="8"/>
      <c r="I10" s="8"/>
    </row>
    <row r="11" spans="1:13">
      <c r="A11" s="119" t="s">
        <v>125</v>
      </c>
      <c r="B11" s="3" t="s">
        <v>126</v>
      </c>
      <c r="C11" s="3" t="s">
        <v>74</v>
      </c>
      <c r="D11" s="78">
        <v>0.75</v>
      </c>
      <c r="E11" s="79">
        <v>0.16200000000000001</v>
      </c>
      <c r="F11" s="80" t="s">
        <v>133</v>
      </c>
      <c r="G11" s="184"/>
      <c r="H11" s="79" t="s">
        <v>246</v>
      </c>
      <c r="I11" s="249">
        <v>6.13E-2</v>
      </c>
    </row>
    <row r="12" spans="1:13">
      <c r="A12" s="119" t="s">
        <v>135</v>
      </c>
      <c r="B12" s="80" t="s">
        <v>128</v>
      </c>
      <c r="C12" s="3" t="s">
        <v>74</v>
      </c>
      <c r="D12" s="78">
        <v>0.75</v>
      </c>
      <c r="E12" s="79">
        <v>0.23</v>
      </c>
      <c r="F12" s="80" t="s">
        <v>133</v>
      </c>
      <c r="G12" s="184"/>
      <c r="H12" s="79" t="s">
        <v>115</v>
      </c>
      <c r="I12" s="249">
        <v>3.2899999999999999E-2</v>
      </c>
      <c r="L12" t="s">
        <v>6</v>
      </c>
    </row>
    <row r="13" spans="1:13">
      <c r="A13" s="22" t="s">
        <v>73</v>
      </c>
      <c r="B13" s="3" t="s">
        <v>44</v>
      </c>
      <c r="C13" s="3" t="s">
        <v>74</v>
      </c>
      <c r="D13" s="78">
        <v>1.1000000000000001</v>
      </c>
      <c r="E13" s="79">
        <v>0.21299999999999999</v>
      </c>
      <c r="F13" s="80" t="s">
        <v>75</v>
      </c>
      <c r="G13" s="78" t="s">
        <v>76</v>
      </c>
      <c r="H13" s="78" t="s">
        <v>77</v>
      </c>
      <c r="I13" s="81">
        <v>3.2899999999999999E-2</v>
      </c>
      <c r="J13" t="s">
        <v>6</v>
      </c>
    </row>
    <row r="14" spans="1:13">
      <c r="A14" s="22" t="s">
        <v>89</v>
      </c>
      <c r="B14" s="3" t="s">
        <v>90</v>
      </c>
      <c r="C14" s="3" t="s">
        <v>74</v>
      </c>
      <c r="D14" s="78">
        <v>0.8</v>
      </c>
      <c r="E14" s="79">
        <v>0.27700000000000002</v>
      </c>
      <c r="F14" s="80" t="s">
        <v>91</v>
      </c>
      <c r="G14" s="78" t="s">
        <v>91</v>
      </c>
      <c r="H14" s="78" t="s">
        <v>92</v>
      </c>
      <c r="I14" s="81">
        <v>2.7900000000000001E-2</v>
      </c>
      <c r="J14" t="s">
        <v>6</v>
      </c>
      <c r="M14" t="s">
        <v>6</v>
      </c>
    </row>
    <row r="15" spans="1:13" ht="15.75" thickBot="1">
      <c r="C15" s="82"/>
      <c r="D15" s="83"/>
      <c r="E15" s="83"/>
      <c r="F15" s="82"/>
      <c r="G15" s="83"/>
      <c r="H15" s="83"/>
      <c r="I15" s="83"/>
    </row>
    <row r="16" spans="1:13" ht="15.75" thickTop="1">
      <c r="C16" s="84" t="s">
        <v>55</v>
      </c>
      <c r="D16" s="86" t="s">
        <v>136</v>
      </c>
      <c r="E16" s="86" t="s">
        <v>137</v>
      </c>
      <c r="I16" s="86" t="s">
        <v>138</v>
      </c>
    </row>
    <row r="17" spans="3:10">
      <c r="C17" s="87" t="s">
        <v>57</v>
      </c>
      <c r="D17" s="185">
        <f>MEDIAN(D11:D14)</f>
        <v>0.77500000000000002</v>
      </c>
      <c r="E17" s="186">
        <f>MEDIAN(E11:E14)</f>
        <v>0.2215</v>
      </c>
      <c r="I17" s="186">
        <f>MEDIAN(I11:I14)</f>
        <v>3.2899999999999999E-2</v>
      </c>
    </row>
    <row r="18" spans="3:10">
      <c r="C18" s="87" t="s">
        <v>25</v>
      </c>
      <c r="D18" s="187">
        <f>AVERAGE(D11:D14)</f>
        <v>0.85000000000000009</v>
      </c>
      <c r="E18" s="13">
        <f>AVERAGE(E11:E14)</f>
        <v>0.2205</v>
      </c>
      <c r="I18" s="13">
        <f>AVERAGE(I11:I14)</f>
        <v>3.875E-2</v>
      </c>
    </row>
    <row r="19" spans="3:10">
      <c r="J19" s="92"/>
    </row>
    <row r="20" spans="3:10" ht="21">
      <c r="H20" s="61" t="s">
        <v>78</v>
      </c>
      <c r="I20" s="150">
        <v>3.2899999999999999E-2</v>
      </c>
      <c r="J20" s="94" t="s">
        <v>6</v>
      </c>
    </row>
  </sheetData>
  <pageMargins left="0.25" right="0.25" top="0.75" bottom="0.75" header="0.3" footer="0.3"/>
  <pageSetup scale="47" orientation="portrait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K33"/>
  <sheetViews>
    <sheetView zoomScale="90" zoomScaleNormal="90" workbookViewId="0">
      <selection activeCell="D9" sqref="D9"/>
    </sheetView>
  </sheetViews>
  <sheetFormatPr defaultRowHeight="15"/>
  <cols>
    <col min="1" max="1" width="45.140625" customWidth="1"/>
    <col min="2" max="2" width="10.85546875" bestFit="1" customWidth="1"/>
    <col min="3" max="3" width="19.140625" bestFit="1" customWidth="1"/>
    <col min="4" max="5" width="19.140625" customWidth="1"/>
    <col min="6" max="6" width="13.7109375" customWidth="1"/>
    <col min="7" max="7" width="13.85546875" customWidth="1"/>
    <col min="8" max="8" width="17.140625" customWidth="1"/>
    <col min="9" max="9" width="17.28515625" customWidth="1"/>
    <col min="10" max="11" width="14.140625" bestFit="1" customWidth="1"/>
  </cols>
  <sheetData>
    <row r="1" spans="1:10" ht="21">
      <c r="A1" s="23" t="s">
        <v>0</v>
      </c>
    </row>
    <row r="2" spans="1:10" ht="15.75">
      <c r="A2" s="202" t="s">
        <v>1</v>
      </c>
    </row>
    <row r="3" spans="1:10">
      <c r="A3" s="198" t="s">
        <v>2</v>
      </c>
    </row>
    <row r="4" spans="1:10">
      <c r="F4" s="4" t="s">
        <v>6</v>
      </c>
      <c r="G4" s="4"/>
    </row>
    <row r="5" spans="1:10" ht="15.75">
      <c r="A5" s="76" t="s">
        <v>166</v>
      </c>
    </row>
    <row r="6" spans="1:10" ht="15.75" thickBot="1">
      <c r="A6" s="77" t="s">
        <v>6</v>
      </c>
      <c r="B6" s="77" t="s">
        <v>6</v>
      </c>
      <c r="C6" s="77" t="s">
        <v>6</v>
      </c>
      <c r="D6" s="77" t="s">
        <v>6</v>
      </c>
      <c r="E6" s="77" t="s">
        <v>6</v>
      </c>
      <c r="F6" s="77" t="s">
        <v>6</v>
      </c>
      <c r="G6" s="77"/>
      <c r="H6" s="77" t="s">
        <v>6</v>
      </c>
      <c r="I6" s="77" t="s">
        <v>6</v>
      </c>
    </row>
    <row r="7" spans="1:10">
      <c r="A7" s="8" t="s">
        <v>6</v>
      </c>
      <c r="B7" s="8" t="s">
        <v>27</v>
      </c>
      <c r="C7" s="8" t="s">
        <v>28</v>
      </c>
      <c r="D7" s="8" t="s">
        <v>63</v>
      </c>
      <c r="E7" s="8" t="s">
        <v>64</v>
      </c>
      <c r="F7" s="8" t="s">
        <v>65</v>
      </c>
      <c r="G7" s="8" t="s">
        <v>205</v>
      </c>
      <c r="H7" s="8" t="s">
        <v>68</v>
      </c>
      <c r="I7" s="8" t="s">
        <v>68</v>
      </c>
    </row>
    <row r="8" spans="1:10" ht="15.75" thickBot="1">
      <c r="A8" s="7" t="s">
        <v>34</v>
      </c>
      <c r="B8" s="7" t="s">
        <v>35</v>
      </c>
      <c r="C8" s="7" t="s">
        <v>36</v>
      </c>
      <c r="D8" s="7"/>
      <c r="E8" s="7" t="s">
        <v>69</v>
      </c>
      <c r="F8" s="7" t="s">
        <v>70</v>
      </c>
      <c r="G8" s="7" t="s">
        <v>71</v>
      </c>
      <c r="H8" s="7" t="s">
        <v>71</v>
      </c>
      <c r="I8" s="7" t="s">
        <v>72</v>
      </c>
    </row>
    <row r="9" spans="1:10">
      <c r="A9" s="9" t="s">
        <v>41</v>
      </c>
      <c r="B9" s="9" t="s">
        <v>41</v>
      </c>
      <c r="C9" s="9" t="s">
        <v>41</v>
      </c>
      <c r="D9" s="9" t="s">
        <v>41</v>
      </c>
      <c r="E9" s="9" t="s">
        <v>41</v>
      </c>
      <c r="F9" s="9" t="s">
        <v>41</v>
      </c>
      <c r="G9" s="9" t="s">
        <v>66</v>
      </c>
      <c r="H9" s="9" t="s">
        <v>68</v>
      </c>
      <c r="I9" s="9" t="s">
        <v>68</v>
      </c>
    </row>
    <row r="10" spans="1:10">
      <c r="A10" s="8"/>
      <c r="B10" s="8"/>
      <c r="C10" s="8"/>
      <c r="D10" s="8"/>
      <c r="E10" s="8"/>
      <c r="F10" s="8"/>
      <c r="G10" s="8"/>
      <c r="H10" s="8"/>
      <c r="I10" s="8"/>
    </row>
    <row r="12" spans="1:10">
      <c r="A12" s="22" t="s">
        <v>167</v>
      </c>
      <c r="B12" s="3" t="s">
        <v>168</v>
      </c>
      <c r="C12" s="3" t="s">
        <v>169</v>
      </c>
      <c r="D12" s="78">
        <v>0.85</v>
      </c>
      <c r="E12" s="249">
        <v>0</v>
      </c>
      <c r="F12" s="80" t="s">
        <v>206</v>
      </c>
      <c r="G12" s="80" t="s">
        <v>76</v>
      </c>
      <c r="H12" s="78" t="s">
        <v>104</v>
      </c>
      <c r="I12" s="81">
        <v>3.2899999999999999E-2</v>
      </c>
      <c r="J12" t="s">
        <v>6</v>
      </c>
    </row>
    <row r="13" spans="1:10">
      <c r="A13" s="22" t="s">
        <v>170</v>
      </c>
      <c r="B13" s="3" t="s">
        <v>171</v>
      </c>
      <c r="C13" s="3" t="s">
        <v>169</v>
      </c>
      <c r="D13" s="78">
        <v>0.85</v>
      </c>
      <c r="E13" s="81">
        <v>0</v>
      </c>
      <c r="F13" s="80" t="s">
        <v>206</v>
      </c>
      <c r="G13" s="80" t="s">
        <v>207</v>
      </c>
      <c r="H13" s="78" t="s">
        <v>77</v>
      </c>
      <c r="I13" s="81">
        <v>3.2899999999999999E-2</v>
      </c>
      <c r="J13" t="s">
        <v>6</v>
      </c>
    </row>
    <row r="14" spans="1:10">
      <c r="A14" s="22" t="s">
        <v>172</v>
      </c>
      <c r="B14" s="3" t="s">
        <v>173</v>
      </c>
      <c r="C14" s="3" t="s">
        <v>169</v>
      </c>
      <c r="D14" s="78">
        <v>0.85</v>
      </c>
      <c r="E14" s="81">
        <v>0.15</v>
      </c>
      <c r="F14" s="80" t="s">
        <v>206</v>
      </c>
      <c r="G14" s="80" t="s">
        <v>208</v>
      </c>
      <c r="H14" s="78" t="s">
        <v>104</v>
      </c>
      <c r="I14" s="81">
        <v>3.2899999999999999E-2</v>
      </c>
      <c r="J14" t="s">
        <v>6</v>
      </c>
    </row>
    <row r="15" spans="1:10">
      <c r="A15" s="22" t="s">
        <v>174</v>
      </c>
      <c r="B15" s="3" t="s">
        <v>175</v>
      </c>
      <c r="C15" s="3" t="s">
        <v>169</v>
      </c>
      <c r="D15" s="78">
        <v>0.75</v>
      </c>
      <c r="E15" s="81">
        <v>1.9E-2</v>
      </c>
      <c r="F15" s="80" t="s">
        <v>91</v>
      </c>
      <c r="G15" s="80" t="s">
        <v>76</v>
      </c>
      <c r="H15" s="78" t="s">
        <v>77</v>
      </c>
      <c r="I15" s="81">
        <v>3.2899999999999999E-2</v>
      </c>
      <c r="J15" t="s">
        <v>6</v>
      </c>
    </row>
    <row r="16" spans="1:10">
      <c r="A16" s="22" t="s">
        <v>176</v>
      </c>
      <c r="B16" s="3" t="s">
        <v>177</v>
      </c>
      <c r="C16" s="3" t="s">
        <v>169</v>
      </c>
      <c r="D16" s="78">
        <v>1.1499999999999999</v>
      </c>
      <c r="E16" s="81">
        <v>0.13400000000000001</v>
      </c>
      <c r="F16" s="80" t="s">
        <v>110</v>
      </c>
      <c r="G16" s="80" t="s">
        <v>76</v>
      </c>
      <c r="H16" s="78" t="s">
        <v>77</v>
      </c>
      <c r="I16" s="81">
        <v>3.2899999999999999E-2</v>
      </c>
      <c r="J16" t="s">
        <v>6</v>
      </c>
    </row>
    <row r="17" spans="1:11">
      <c r="A17" s="22" t="s">
        <v>178</v>
      </c>
      <c r="B17" s="3" t="s">
        <v>179</v>
      </c>
      <c r="C17" s="3" t="s">
        <v>169</v>
      </c>
      <c r="D17" s="78">
        <v>0.8</v>
      </c>
      <c r="E17" s="81">
        <v>0.15</v>
      </c>
      <c r="F17" s="80" t="s">
        <v>105</v>
      </c>
      <c r="G17" s="80" t="s">
        <v>208</v>
      </c>
      <c r="H17" s="78" t="s">
        <v>77</v>
      </c>
      <c r="I17" s="81">
        <v>3.2899999999999999E-2</v>
      </c>
      <c r="J17" t="s">
        <v>6</v>
      </c>
    </row>
    <row r="18" spans="1:11">
      <c r="A18" s="22" t="s">
        <v>180</v>
      </c>
      <c r="B18" s="3" t="s">
        <v>181</v>
      </c>
      <c r="C18" s="3" t="s">
        <v>169</v>
      </c>
      <c r="D18" s="78">
        <v>0.95</v>
      </c>
      <c r="E18" s="81">
        <v>0.109</v>
      </c>
      <c r="F18" s="80" t="s">
        <v>206</v>
      </c>
      <c r="G18" s="80" t="s">
        <v>208</v>
      </c>
      <c r="H18" s="78" t="s">
        <v>77</v>
      </c>
      <c r="I18" s="81">
        <v>3.2899999999999999E-2</v>
      </c>
      <c r="J18" t="s">
        <v>6</v>
      </c>
    </row>
    <row r="19" spans="1:11">
      <c r="A19" s="22" t="s">
        <v>182</v>
      </c>
      <c r="B19" s="3" t="s">
        <v>183</v>
      </c>
      <c r="C19" s="3" t="s">
        <v>169</v>
      </c>
      <c r="D19" s="78">
        <v>0.85</v>
      </c>
      <c r="E19" s="81">
        <v>0.09</v>
      </c>
      <c r="F19" s="80" t="s">
        <v>206</v>
      </c>
      <c r="G19" s="80"/>
      <c r="H19" s="78" t="s">
        <v>209</v>
      </c>
      <c r="I19" s="249">
        <v>2.7900000000000001E-2</v>
      </c>
      <c r="J19" s="250" t="s">
        <v>6</v>
      </c>
      <c r="K19" s="251" t="s">
        <v>6</v>
      </c>
    </row>
    <row r="20" spans="1:11">
      <c r="A20" s="22" t="s">
        <v>184</v>
      </c>
      <c r="B20" s="3" t="s">
        <v>185</v>
      </c>
      <c r="C20" s="3" t="s">
        <v>169</v>
      </c>
      <c r="D20" s="78">
        <v>0.95</v>
      </c>
      <c r="E20" s="81">
        <v>0</v>
      </c>
      <c r="F20" s="80" t="s">
        <v>105</v>
      </c>
      <c r="G20" s="80" t="s">
        <v>208</v>
      </c>
      <c r="H20" s="78" t="s">
        <v>77</v>
      </c>
      <c r="I20" s="81">
        <v>3.2899999999999999E-2</v>
      </c>
      <c r="J20" t="s">
        <v>6</v>
      </c>
      <c r="K20" s="251"/>
    </row>
    <row r="21" spans="1:11">
      <c r="A21" s="22" t="s">
        <v>210</v>
      </c>
      <c r="B21" s="3" t="s">
        <v>187</v>
      </c>
      <c r="C21" s="3" t="s">
        <v>169</v>
      </c>
      <c r="D21" s="78">
        <v>0.85</v>
      </c>
      <c r="E21" s="81">
        <v>0.26</v>
      </c>
      <c r="F21" s="80" t="s">
        <v>110</v>
      </c>
      <c r="G21" s="80" t="s">
        <v>211</v>
      </c>
      <c r="H21" s="78" t="s">
        <v>106</v>
      </c>
      <c r="I21" s="81">
        <v>5.4600000000000003E-2</v>
      </c>
      <c r="J21" t="s">
        <v>6</v>
      </c>
      <c r="K21" s="251" t="s">
        <v>6</v>
      </c>
    </row>
    <row r="22" spans="1:11">
      <c r="A22" s="22" t="s">
        <v>188</v>
      </c>
      <c r="B22" s="3" t="s">
        <v>189</v>
      </c>
      <c r="C22" s="3" t="s">
        <v>169</v>
      </c>
      <c r="D22" s="78">
        <v>0.7</v>
      </c>
      <c r="E22" s="81">
        <v>0.17399999999999999</v>
      </c>
      <c r="F22" s="80" t="s">
        <v>91</v>
      </c>
      <c r="G22" s="80" t="s">
        <v>434</v>
      </c>
      <c r="H22" s="78" t="s">
        <v>209</v>
      </c>
      <c r="I22" s="81">
        <v>2.7900000000000001E-2</v>
      </c>
      <c r="J22" t="s">
        <v>6</v>
      </c>
      <c r="K22" s="251"/>
    </row>
    <row r="23" spans="1:11">
      <c r="A23" s="22" t="s">
        <v>190</v>
      </c>
      <c r="B23" s="3" t="s">
        <v>191</v>
      </c>
      <c r="C23" s="3" t="s">
        <v>169</v>
      </c>
      <c r="D23" s="78">
        <v>1.1000000000000001</v>
      </c>
      <c r="E23" s="81">
        <v>0.13200000000000001</v>
      </c>
      <c r="F23" s="80" t="s">
        <v>206</v>
      </c>
      <c r="G23" s="80" t="s">
        <v>207</v>
      </c>
      <c r="H23" s="78" t="s">
        <v>212</v>
      </c>
      <c r="I23" s="81">
        <v>2.7900000000000001E-2</v>
      </c>
      <c r="J23" t="s">
        <v>6</v>
      </c>
      <c r="K23" s="251"/>
    </row>
    <row r="24" spans="1:11">
      <c r="A24" s="22" t="s">
        <v>192</v>
      </c>
      <c r="B24" s="3" t="s">
        <v>193</v>
      </c>
      <c r="C24" s="3" t="s">
        <v>169</v>
      </c>
      <c r="D24" s="78">
        <v>0.85</v>
      </c>
      <c r="E24" s="81">
        <v>0.17399999999999999</v>
      </c>
      <c r="F24" s="80" t="s">
        <v>206</v>
      </c>
      <c r="G24" s="80" t="s">
        <v>76</v>
      </c>
      <c r="H24" s="78" t="s">
        <v>77</v>
      </c>
      <c r="I24" s="81">
        <v>3.2899999999999999E-2</v>
      </c>
      <c r="J24" t="s">
        <v>6</v>
      </c>
      <c r="K24" s="251"/>
    </row>
    <row r="25" spans="1:11">
      <c r="A25" s="22" t="s">
        <v>194</v>
      </c>
      <c r="B25" s="3" t="s">
        <v>195</v>
      </c>
      <c r="C25" s="3" t="s">
        <v>169</v>
      </c>
      <c r="D25" s="78">
        <v>1.1499999999999999</v>
      </c>
      <c r="E25" s="81">
        <v>0.2</v>
      </c>
      <c r="F25" s="80" t="s">
        <v>105</v>
      </c>
      <c r="G25" s="80" t="s">
        <v>206</v>
      </c>
      <c r="H25" s="78" t="s">
        <v>209</v>
      </c>
      <c r="I25" s="81">
        <v>2.7900000000000001E-2</v>
      </c>
      <c r="J25" t="s">
        <v>6</v>
      </c>
      <c r="K25" s="251" t="s">
        <v>6</v>
      </c>
    </row>
    <row r="26" spans="1:11">
      <c r="A26" s="22" t="s">
        <v>213</v>
      </c>
      <c r="B26" s="3" t="s">
        <v>197</v>
      </c>
      <c r="C26" s="3" t="s">
        <v>169</v>
      </c>
      <c r="D26" s="78">
        <v>0.9</v>
      </c>
      <c r="E26" s="81">
        <v>0.16</v>
      </c>
      <c r="F26" s="80" t="s">
        <v>206</v>
      </c>
      <c r="G26" s="80" t="s">
        <v>76</v>
      </c>
      <c r="H26" s="78" t="s">
        <v>111</v>
      </c>
      <c r="I26" s="81">
        <v>3.2899999999999999E-2</v>
      </c>
      <c r="J26" t="s">
        <v>6</v>
      </c>
      <c r="K26" s="251" t="s">
        <v>6</v>
      </c>
    </row>
    <row r="27" spans="1:11">
      <c r="A27" s="22" t="s">
        <v>198</v>
      </c>
      <c r="B27" s="3" t="s">
        <v>199</v>
      </c>
      <c r="C27" s="3" t="s">
        <v>169</v>
      </c>
      <c r="D27" s="78">
        <v>0.8</v>
      </c>
      <c r="E27" s="81">
        <v>0.159</v>
      </c>
      <c r="F27" s="80" t="s">
        <v>91</v>
      </c>
      <c r="G27" s="80" t="s">
        <v>207</v>
      </c>
      <c r="H27" s="78" t="s">
        <v>104</v>
      </c>
      <c r="I27" s="81">
        <v>3.2899999999999999E-2</v>
      </c>
      <c r="J27" t="s">
        <v>6</v>
      </c>
    </row>
    <row r="28" spans="1:11" ht="15.75" thickBot="1">
      <c r="C28" s="22"/>
      <c r="D28" s="83"/>
      <c r="E28" s="83"/>
      <c r="F28" s="83"/>
      <c r="G28" s="83"/>
      <c r="H28" s="83" t="s">
        <v>214</v>
      </c>
      <c r="I28" s="83"/>
    </row>
    <row r="29" spans="1:11" ht="15.75" thickTop="1">
      <c r="C29" s="87" t="s">
        <v>55</v>
      </c>
      <c r="D29" s="86" t="s">
        <v>215</v>
      </c>
      <c r="E29" s="86" t="s">
        <v>216</v>
      </c>
      <c r="F29" s="80" t="s">
        <v>217</v>
      </c>
      <c r="G29" s="3"/>
      <c r="H29" s="86" t="s">
        <v>218</v>
      </c>
      <c r="I29" s="86" t="s">
        <v>219</v>
      </c>
    </row>
    <row r="30" spans="1:11">
      <c r="C30" s="87" t="s">
        <v>57</v>
      </c>
      <c r="D30" s="185">
        <f>MEDIAN(D12:D27)</f>
        <v>0.85</v>
      </c>
      <c r="E30" s="186">
        <f>MEDIAN(E12:E27)</f>
        <v>0.14200000000000002</v>
      </c>
      <c r="F30" s="196" t="s">
        <v>6</v>
      </c>
      <c r="G30" s="87"/>
      <c r="H30" s="186" t="s">
        <v>6</v>
      </c>
      <c r="I30" s="186">
        <f>MEDIAN(I12:I27)</f>
        <v>3.2899999999999999E-2</v>
      </c>
    </row>
    <row r="31" spans="1:11">
      <c r="C31" s="87" t="s">
        <v>25</v>
      </c>
      <c r="D31" s="187">
        <f>AVERAGE(D12:D27)</f>
        <v>0.89687499999999998</v>
      </c>
      <c r="E31" s="13">
        <f>AVERAGE(E12:E27)</f>
        <v>0.11943749999999999</v>
      </c>
      <c r="F31" s="196" t="s">
        <v>6</v>
      </c>
      <c r="G31" s="87"/>
      <c r="H31" s="13" t="s">
        <v>6</v>
      </c>
      <c r="I31" s="13">
        <f>AVERAGE(I12:I27)</f>
        <v>3.3006249999999987E-2</v>
      </c>
    </row>
    <row r="32" spans="1:11">
      <c r="H32" s="144"/>
      <c r="I32" s="144"/>
    </row>
    <row r="33" spans="8:9" ht="21">
      <c r="H33" s="252" t="s">
        <v>78</v>
      </c>
      <c r="I33" s="150">
        <v>3.2899999999999999E-2</v>
      </c>
    </row>
  </sheetData>
  <pageMargins left="0.25" right="0.25" top="0.75" bottom="0.75" header="0.3" footer="0.3"/>
  <pageSetup scale="65" orientation="landscape" r:id="rId1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F46"/>
  <sheetViews>
    <sheetView zoomScale="90" zoomScaleNormal="90" workbookViewId="0">
      <selection activeCell="D9" sqref="D9"/>
    </sheetView>
  </sheetViews>
  <sheetFormatPr defaultRowHeight="15"/>
  <cols>
    <col min="1" max="1" width="43.7109375" customWidth="1"/>
    <col min="2" max="2" width="12.28515625" bestFit="1" customWidth="1"/>
    <col min="3" max="3" width="22.140625" customWidth="1"/>
    <col min="4" max="4" width="22.5703125" customWidth="1"/>
    <col min="5" max="5" width="14.7109375" bestFit="1" customWidth="1"/>
    <col min="6" max="6" width="23.5703125" customWidth="1"/>
  </cols>
  <sheetData>
    <row r="1" spans="1:6" ht="21">
      <c r="A1" s="23" t="s">
        <v>0</v>
      </c>
    </row>
    <row r="2" spans="1:6" ht="15.75">
      <c r="A2" s="24" t="s">
        <v>1</v>
      </c>
    </row>
    <row r="3" spans="1:6">
      <c r="A3" s="22" t="s">
        <v>2</v>
      </c>
    </row>
    <row r="4" spans="1:6">
      <c r="D4" s="4" t="s">
        <v>6</v>
      </c>
    </row>
    <row r="5" spans="1:6" ht="15.75">
      <c r="A5" s="76" t="s">
        <v>166</v>
      </c>
    </row>
    <row r="6" spans="1:6" ht="15.75">
      <c r="A6" s="76"/>
    </row>
    <row r="7" spans="1:6" ht="18.75">
      <c r="A7" s="76"/>
      <c r="D7" s="95" t="s">
        <v>79</v>
      </c>
    </row>
    <row r="8" spans="1:6" ht="18.75">
      <c r="A8" s="76"/>
      <c r="D8" s="95" t="s">
        <v>80</v>
      </c>
    </row>
    <row r="9" spans="1:6" ht="15.75">
      <c r="A9" s="76"/>
    </row>
    <row r="10" spans="1:6" ht="15.75" thickBot="1">
      <c r="A10" s="77" t="s">
        <v>6</v>
      </c>
      <c r="B10" s="77" t="s">
        <v>6</v>
      </c>
      <c r="C10" s="77" t="s">
        <v>6</v>
      </c>
      <c r="D10" s="77" t="s">
        <v>6</v>
      </c>
      <c r="E10" s="77" t="s">
        <v>6</v>
      </c>
      <c r="F10" s="77" t="s">
        <v>6</v>
      </c>
    </row>
    <row r="11" spans="1:6">
      <c r="A11" s="8" t="s">
        <v>6</v>
      </c>
      <c r="B11" s="8" t="s">
        <v>27</v>
      </c>
      <c r="C11" s="8" t="s">
        <v>6</v>
      </c>
      <c r="D11" s="8" t="s">
        <v>81</v>
      </c>
      <c r="E11" s="8" t="s">
        <v>81</v>
      </c>
      <c r="F11" s="8" t="s">
        <v>82</v>
      </c>
    </row>
    <row r="12" spans="1:6" ht="15.75" thickBot="1">
      <c r="A12" s="7" t="s">
        <v>34</v>
      </c>
      <c r="B12" s="7" t="s">
        <v>35</v>
      </c>
      <c r="C12" s="7" t="s">
        <v>83</v>
      </c>
      <c r="D12" s="7" t="s">
        <v>84</v>
      </c>
      <c r="E12" s="7" t="s">
        <v>85</v>
      </c>
      <c r="F12" s="7" t="s">
        <v>86</v>
      </c>
    </row>
    <row r="13" spans="1:6">
      <c r="A13" s="9" t="s">
        <v>6</v>
      </c>
      <c r="B13" s="9" t="s">
        <v>6</v>
      </c>
      <c r="C13" s="9" t="s">
        <v>41</v>
      </c>
      <c r="D13" s="9" t="s">
        <v>41</v>
      </c>
      <c r="E13" s="9" t="s">
        <v>6</v>
      </c>
      <c r="F13" s="9" t="s">
        <v>6</v>
      </c>
    </row>
    <row r="14" spans="1:6">
      <c r="A14" s="8"/>
      <c r="B14" s="8"/>
      <c r="C14" s="8"/>
      <c r="D14" s="8"/>
      <c r="E14" s="8"/>
      <c r="F14" s="8"/>
    </row>
    <row r="16" spans="1:6" ht="15.75">
      <c r="A16" s="22" t="s">
        <v>167</v>
      </c>
      <c r="B16" s="3" t="s">
        <v>168</v>
      </c>
      <c r="C16" s="46">
        <v>61.94</v>
      </c>
      <c r="D16" s="78">
        <v>7.52</v>
      </c>
      <c r="E16" s="140">
        <f>C16/D16</f>
        <v>8.2367021276595747</v>
      </c>
      <c r="F16" s="13">
        <f t="shared" ref="F16:F31" si="0">1/E16</f>
        <v>0.1214078140135615</v>
      </c>
    </row>
    <row r="17" spans="1:6" ht="15.75">
      <c r="A17" s="22" t="s">
        <v>170</v>
      </c>
      <c r="B17" s="3" t="s">
        <v>171</v>
      </c>
      <c r="C17" s="46">
        <v>51.53</v>
      </c>
      <c r="D17" s="78">
        <v>4.92</v>
      </c>
      <c r="E17" s="140">
        <f t="shared" ref="E17:E31" si="1">C17/D17</f>
        <v>10.473577235772359</v>
      </c>
      <c r="F17" s="13">
        <f t="shared" si="0"/>
        <v>9.5478362119153878E-2</v>
      </c>
    </row>
    <row r="18" spans="1:6" ht="15.75">
      <c r="A18" s="22" t="s">
        <v>172</v>
      </c>
      <c r="B18" s="3" t="s">
        <v>173</v>
      </c>
      <c r="C18" s="46">
        <v>78.06</v>
      </c>
      <c r="D18" s="78">
        <v>8.08</v>
      </c>
      <c r="E18" s="140">
        <f t="shared" si="1"/>
        <v>9.6608910891089117</v>
      </c>
      <c r="F18" s="13">
        <f t="shared" si="0"/>
        <v>0.10351012042018959</v>
      </c>
    </row>
    <row r="19" spans="1:6" ht="15.75">
      <c r="A19" s="22" t="s">
        <v>174</v>
      </c>
      <c r="B19" s="3" t="s">
        <v>175</v>
      </c>
      <c r="C19" s="46">
        <v>83.27</v>
      </c>
      <c r="D19" s="78">
        <v>10.28</v>
      </c>
      <c r="E19" s="140">
        <f>C19/D19</f>
        <v>8.1001945525291834</v>
      </c>
      <c r="F19" s="13">
        <f t="shared" si="0"/>
        <v>0.12345382490692926</v>
      </c>
    </row>
    <row r="20" spans="1:6" ht="15.75">
      <c r="A20" s="22" t="s">
        <v>176</v>
      </c>
      <c r="B20" s="3" t="s">
        <v>177</v>
      </c>
      <c r="C20" s="46">
        <v>21.64</v>
      </c>
      <c r="D20" s="78">
        <v>3.46</v>
      </c>
      <c r="E20" s="140">
        <f t="shared" si="1"/>
        <v>6.2543352601156075</v>
      </c>
      <c r="F20" s="13">
        <f t="shared" si="0"/>
        <v>0.15988909426987061</v>
      </c>
    </row>
    <row r="21" spans="1:6" ht="15.75">
      <c r="A21" s="22" t="s">
        <v>178</v>
      </c>
      <c r="B21" s="3" t="s">
        <v>179</v>
      </c>
      <c r="C21" s="46">
        <v>61.01</v>
      </c>
      <c r="D21" s="78">
        <v>6.24</v>
      </c>
      <c r="E21" s="140">
        <f t="shared" si="1"/>
        <v>9.7772435897435894</v>
      </c>
      <c r="F21" s="13">
        <f t="shared" si="0"/>
        <v>0.10227831503032291</v>
      </c>
    </row>
    <row r="22" spans="1:6" ht="15.75">
      <c r="A22" s="22" t="s">
        <v>180</v>
      </c>
      <c r="B22" s="3" t="s">
        <v>181</v>
      </c>
      <c r="C22" s="46">
        <v>121.41</v>
      </c>
      <c r="D22" s="78">
        <v>14.7</v>
      </c>
      <c r="E22" s="140">
        <f t="shared" si="1"/>
        <v>8.2591836734693871</v>
      </c>
      <c r="F22" s="13">
        <f t="shared" si="0"/>
        <v>0.12107734124042502</v>
      </c>
    </row>
    <row r="23" spans="1:6" s="144" customFormat="1" ht="15.75">
      <c r="A23" s="119" t="s">
        <v>182</v>
      </c>
      <c r="B23" s="80" t="s">
        <v>183</v>
      </c>
      <c r="C23" s="46">
        <v>91.56</v>
      </c>
      <c r="D23" s="78">
        <v>11.05</v>
      </c>
      <c r="E23" s="140">
        <f t="shared" si="1"/>
        <v>8.285972850678732</v>
      </c>
      <c r="F23" s="13">
        <f t="shared" si="0"/>
        <v>0.1206858890345129</v>
      </c>
    </row>
    <row r="24" spans="1:6" ht="15.75">
      <c r="A24" s="22" t="s">
        <v>184</v>
      </c>
      <c r="B24" s="3" t="s">
        <v>185</v>
      </c>
      <c r="C24" s="46">
        <v>99.84</v>
      </c>
      <c r="D24" s="78">
        <v>18.21</v>
      </c>
      <c r="E24" s="140">
        <f t="shared" si="1"/>
        <v>5.4827018121911033</v>
      </c>
      <c r="F24" s="13">
        <f t="shared" si="0"/>
        <v>0.18239182692307693</v>
      </c>
    </row>
    <row r="25" spans="1:6" s="144" customFormat="1" ht="15.75">
      <c r="A25" s="119" t="s">
        <v>210</v>
      </c>
      <c r="B25" s="80" t="s">
        <v>187</v>
      </c>
      <c r="C25" s="46">
        <v>30.61</v>
      </c>
      <c r="D25" s="78">
        <v>3.75</v>
      </c>
      <c r="E25" s="140">
        <f t="shared" si="1"/>
        <v>8.1626666666666665</v>
      </c>
      <c r="F25" s="13">
        <f t="shared" si="0"/>
        <v>0.12250898399215943</v>
      </c>
    </row>
    <row r="26" spans="1:6" ht="15.75">
      <c r="A26" s="22" t="s">
        <v>188</v>
      </c>
      <c r="B26" s="3" t="s">
        <v>189</v>
      </c>
      <c r="C26" s="46">
        <v>70.03</v>
      </c>
      <c r="D26" s="78">
        <v>4.74</v>
      </c>
      <c r="E26" s="140">
        <f t="shared" si="1"/>
        <v>14.774261603375527</v>
      </c>
      <c r="F26" s="13">
        <f t="shared" si="0"/>
        <v>6.768527773811224E-2</v>
      </c>
    </row>
    <row r="27" spans="1:6" ht="15.75">
      <c r="A27" s="22" t="s">
        <v>190</v>
      </c>
      <c r="B27" s="3" t="s">
        <v>191</v>
      </c>
      <c r="C27" s="46">
        <v>31.86</v>
      </c>
      <c r="D27" s="78">
        <v>4.03</v>
      </c>
      <c r="E27" s="140">
        <f t="shared" si="1"/>
        <v>7.905707196029776</v>
      </c>
      <c r="F27" s="13">
        <f t="shared" si="0"/>
        <v>0.12649089767733837</v>
      </c>
    </row>
    <row r="28" spans="1:6" ht="15.75">
      <c r="A28" s="22" t="s">
        <v>192</v>
      </c>
      <c r="B28" s="3" t="s">
        <v>193</v>
      </c>
      <c r="C28" s="46">
        <v>42.61</v>
      </c>
      <c r="D28" s="78">
        <v>4.29</v>
      </c>
      <c r="E28" s="140">
        <f t="shared" si="1"/>
        <v>9.9324009324009328</v>
      </c>
      <c r="F28" s="13">
        <f t="shared" si="0"/>
        <v>0.10068059141046702</v>
      </c>
    </row>
    <row r="29" spans="1:6" s="144" customFormat="1" ht="15.75">
      <c r="A29" s="119" t="s">
        <v>220</v>
      </c>
      <c r="B29" s="80" t="s">
        <v>195</v>
      </c>
      <c r="C29" s="46">
        <v>28.2</v>
      </c>
      <c r="D29" s="78">
        <v>4.0999999999999996</v>
      </c>
      <c r="E29" s="140">
        <f t="shared" si="1"/>
        <v>6.8780487804878057</v>
      </c>
      <c r="F29" s="13">
        <f t="shared" si="0"/>
        <v>0.1453900709219858</v>
      </c>
    </row>
    <row r="30" spans="1:6" s="144" customFormat="1" ht="15.75">
      <c r="A30" s="119" t="s">
        <v>213</v>
      </c>
      <c r="B30" s="80" t="s">
        <v>197</v>
      </c>
      <c r="C30" s="46">
        <v>61.43</v>
      </c>
      <c r="D30" s="78">
        <v>6.9</v>
      </c>
      <c r="E30" s="140">
        <f t="shared" si="1"/>
        <v>8.9028985507246379</v>
      </c>
      <c r="F30" s="13">
        <f t="shared" si="0"/>
        <v>0.11232296923327365</v>
      </c>
    </row>
    <row r="31" spans="1:6" ht="15.75">
      <c r="A31" s="22" t="s">
        <v>198</v>
      </c>
      <c r="B31" s="3" t="s">
        <v>199</v>
      </c>
      <c r="C31" s="46">
        <v>92.03</v>
      </c>
      <c r="D31" s="78">
        <v>6.9</v>
      </c>
      <c r="E31" s="140">
        <f t="shared" si="1"/>
        <v>13.33768115942029</v>
      </c>
      <c r="F31" s="13">
        <f t="shared" si="0"/>
        <v>7.4975551450613923E-2</v>
      </c>
    </row>
    <row r="32" spans="1:6" ht="15.75" thickBot="1">
      <c r="B32" s="82"/>
      <c r="C32" s="82"/>
      <c r="D32" s="82"/>
      <c r="E32" s="82"/>
      <c r="F32" s="82"/>
    </row>
    <row r="33" spans="1:6" ht="15.75" thickTop="1">
      <c r="B33" s="87" t="s">
        <v>55</v>
      </c>
      <c r="C33" s="253" t="s">
        <v>221</v>
      </c>
      <c r="D33" s="253" t="s">
        <v>222</v>
      </c>
      <c r="E33" s="253" t="s">
        <v>223</v>
      </c>
      <c r="F33" s="253" t="s">
        <v>224</v>
      </c>
    </row>
    <row r="34" spans="1:6">
      <c r="B34" s="87" t="s">
        <v>57</v>
      </c>
      <c r="C34" s="254">
        <f>MEDIAN(C16:C31)</f>
        <v>61.685000000000002</v>
      </c>
      <c r="D34" s="188">
        <f>MEDIAN(D16:D31)</f>
        <v>6.57</v>
      </c>
      <c r="E34" s="255">
        <f>MEDIAN(E16:E31)</f>
        <v>8.2725782620740596</v>
      </c>
      <c r="F34" s="13">
        <f>MEDIAN(F16:F31)</f>
        <v>0.12088161513746895</v>
      </c>
    </row>
    <row r="35" spans="1:6">
      <c r="B35" s="87" t="s">
        <v>25</v>
      </c>
      <c r="C35" s="187">
        <f>AVERAGE(C16:C31)</f>
        <v>64.189375000000013</v>
      </c>
      <c r="D35" s="185">
        <f>AVERAGE(D16:D31)</f>
        <v>7.448125000000001</v>
      </c>
      <c r="E35" s="187">
        <f>AVERAGE(E16:E31)</f>
        <v>9.0265291925233804</v>
      </c>
      <c r="F35" s="256">
        <f>AVERAGE(F16:F31)</f>
        <v>0.11751418314887456</v>
      </c>
    </row>
    <row r="37" spans="1:6" ht="21">
      <c r="E37" s="61" t="s">
        <v>20</v>
      </c>
      <c r="F37" s="150">
        <v>0.12089999999999999</v>
      </c>
    </row>
    <row r="38" spans="1:6">
      <c r="F38" s="257" t="s">
        <v>6</v>
      </c>
    </row>
    <row r="39" spans="1:6">
      <c r="A39" s="132" t="s">
        <v>6</v>
      </c>
    </row>
    <row r="40" spans="1:6">
      <c r="A40" s="132" t="s">
        <v>225</v>
      </c>
    </row>
    <row r="42" spans="1:6">
      <c r="A42" s="258" t="s">
        <v>226</v>
      </c>
    </row>
    <row r="43" spans="1:6">
      <c r="A43" s="258"/>
    </row>
    <row r="44" spans="1:6">
      <c r="A44" s="258" t="s">
        <v>227</v>
      </c>
    </row>
    <row r="45" spans="1:6">
      <c r="A45" s="258" t="s">
        <v>228</v>
      </c>
    </row>
    <row r="46" spans="1:6">
      <c r="A46" s="258" t="s">
        <v>229</v>
      </c>
    </row>
  </sheetData>
  <pageMargins left="0.25" right="0.25" top="0.75" bottom="0.75" header="0.3" footer="0.3"/>
  <pageSetup scale="65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F24"/>
  <sheetViews>
    <sheetView tabSelected="1" zoomScaleNormal="100" workbookViewId="0">
      <selection activeCell="F11" sqref="F11"/>
    </sheetView>
  </sheetViews>
  <sheetFormatPr defaultRowHeight="15"/>
  <cols>
    <col min="1" max="1" width="24.85546875" customWidth="1"/>
    <col min="2" max="2" width="13.28515625" bestFit="1" customWidth="1"/>
    <col min="3" max="3" width="35.28515625" customWidth="1"/>
    <col min="4" max="4" width="12" bestFit="1" customWidth="1"/>
    <col min="5" max="5" width="20.85546875" bestFit="1" customWidth="1"/>
    <col min="6" max="6" width="16.28515625" customWidth="1"/>
  </cols>
  <sheetData>
    <row r="1" spans="1:6" ht="21">
      <c r="C1" s="1" t="s">
        <v>0</v>
      </c>
    </row>
    <row r="2" spans="1:6" ht="15.75">
      <c r="A2" s="198"/>
      <c r="C2" s="2" t="s">
        <v>1</v>
      </c>
    </row>
    <row r="3" spans="1:6">
      <c r="A3" s="198"/>
    </row>
    <row r="4" spans="1:6">
      <c r="C4" s="3" t="s">
        <v>2</v>
      </c>
    </row>
    <row r="5" spans="1:6">
      <c r="C5" s="3" t="s">
        <v>3</v>
      </c>
    </row>
    <row r="8" spans="1:6">
      <c r="D8" s="4"/>
    </row>
    <row r="10" spans="1:6" ht="15.75" thickBot="1">
      <c r="B10" s="5"/>
      <c r="C10" s="5"/>
      <c r="D10" s="5"/>
    </row>
    <row r="11" spans="1:6" ht="21">
      <c r="C11" s="6" t="s">
        <v>230</v>
      </c>
    </row>
    <row r="12" spans="1:6" ht="15.75" thickBot="1">
      <c r="B12" s="5"/>
      <c r="C12" s="7" t="s">
        <v>5</v>
      </c>
      <c r="D12" s="5"/>
    </row>
    <row r="13" spans="1:6" ht="15.75" thickBot="1">
      <c r="A13" s="5"/>
      <c r="B13" s="5"/>
      <c r="C13" s="7" t="s">
        <v>6</v>
      </c>
      <c r="D13" s="5"/>
      <c r="E13" s="5"/>
      <c r="F13" s="5"/>
    </row>
    <row r="14" spans="1:6">
      <c r="A14" s="8" t="s">
        <v>7</v>
      </c>
      <c r="B14" s="8" t="s">
        <v>8</v>
      </c>
      <c r="C14" s="8" t="s">
        <v>9</v>
      </c>
      <c r="D14" s="8" t="s">
        <v>10</v>
      </c>
      <c r="E14" s="8" t="s">
        <v>11</v>
      </c>
      <c r="F14" s="8" t="s">
        <v>12</v>
      </c>
    </row>
    <row r="15" spans="1:6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</row>
    <row r="16" spans="1:6">
      <c r="A16" s="9" t="s">
        <v>6</v>
      </c>
      <c r="B16" s="9" t="s">
        <v>6</v>
      </c>
      <c r="C16" s="9" t="s">
        <v>6</v>
      </c>
      <c r="D16" s="9" t="s">
        <v>6</v>
      </c>
      <c r="E16" s="9" t="s">
        <v>6</v>
      </c>
      <c r="F16" s="9" t="s">
        <v>6</v>
      </c>
    </row>
    <row r="17" spans="1:6">
      <c r="A17" s="8"/>
      <c r="B17" s="8"/>
      <c r="C17" s="8"/>
      <c r="D17" s="8"/>
      <c r="E17" s="8"/>
      <c r="F17" s="8"/>
    </row>
    <row r="18" spans="1:6" ht="15.75">
      <c r="A18" s="2" t="s">
        <v>17</v>
      </c>
      <c r="B18" s="16">
        <v>0.51</v>
      </c>
      <c r="C18" s="16">
        <v>0.1396</v>
      </c>
      <c r="D18" s="45" t="s">
        <v>134</v>
      </c>
      <c r="E18" s="16">
        <f>+C18</f>
        <v>0.1396</v>
      </c>
      <c r="F18" s="161">
        <f>+E18*B18</f>
        <v>7.1195999999999995E-2</v>
      </c>
    </row>
    <row r="19" spans="1:6" ht="15.75">
      <c r="A19" s="2" t="s">
        <v>6</v>
      </c>
      <c r="B19" s="14" t="s">
        <v>6</v>
      </c>
      <c r="C19" s="14" t="s">
        <v>6</v>
      </c>
      <c r="D19" s="14" t="s">
        <v>6</v>
      </c>
      <c r="E19" s="200" t="s">
        <v>6</v>
      </c>
      <c r="F19" s="12" t="s">
        <v>6</v>
      </c>
    </row>
    <row r="20" spans="1:6" ht="15.75">
      <c r="A20" s="2" t="s">
        <v>18</v>
      </c>
      <c r="B20" s="16">
        <v>0.49</v>
      </c>
      <c r="C20" s="16">
        <v>5.4600000000000003E-2</v>
      </c>
      <c r="D20" s="16">
        <v>0.26</v>
      </c>
      <c r="E20" s="16">
        <f>+C20*(1-D20)</f>
        <v>4.0404000000000002E-2</v>
      </c>
      <c r="F20" s="161">
        <f>+B20*E20</f>
        <v>1.979796E-2</v>
      </c>
    </row>
    <row r="21" spans="1:6" ht="16.5" thickBot="1">
      <c r="A21" s="17" t="s">
        <v>6</v>
      </c>
      <c r="B21" s="17" t="s">
        <v>6</v>
      </c>
      <c r="C21" s="17" t="s">
        <v>6</v>
      </c>
      <c r="D21" s="17" t="s">
        <v>6</v>
      </c>
      <c r="E21" s="18" t="s">
        <v>6</v>
      </c>
      <c r="F21" s="19" t="s">
        <v>6</v>
      </c>
    </row>
    <row r="22" spans="1:6" ht="15.75">
      <c r="A22" s="2" t="s">
        <v>19</v>
      </c>
      <c r="B22" s="156">
        <f>+B18+B20</f>
        <v>1</v>
      </c>
      <c r="C22" s="2" t="s">
        <v>6</v>
      </c>
      <c r="D22" s="2" t="s">
        <v>6</v>
      </c>
      <c r="E22" s="15" t="s">
        <v>6</v>
      </c>
      <c r="F22" s="161">
        <f>+F18+F20</f>
        <v>9.0993959999999999E-2</v>
      </c>
    </row>
    <row r="23" spans="1:6" ht="15.75">
      <c r="A23" s="24"/>
      <c r="B23" s="24"/>
      <c r="C23" s="24"/>
      <c r="D23" s="24"/>
      <c r="E23" s="24"/>
      <c r="F23" s="201"/>
    </row>
    <row r="24" spans="1:6" ht="15.75">
      <c r="E24" s="15" t="s">
        <v>20</v>
      </c>
      <c r="F24" s="161">
        <v>9.0999999999999998E-2</v>
      </c>
    </row>
  </sheetData>
  <pageMargins left="0.25" right="0.25" top="0.75" bottom="0.75" header="0.3" footer="0.3"/>
  <pageSetup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M42"/>
  <sheetViews>
    <sheetView topLeftCell="A12" zoomScale="80" zoomScaleNormal="80" zoomScalePageLayoutView="70" workbookViewId="0">
      <pane xSplit="1" topLeftCell="B1" activePane="topRight" state="frozen"/>
      <selection activeCell="D9" sqref="D9"/>
      <selection pane="topRight" activeCell="I42" sqref="I42"/>
    </sheetView>
  </sheetViews>
  <sheetFormatPr defaultRowHeight="15"/>
  <cols>
    <col min="1" max="1" width="61.42578125" customWidth="1"/>
    <col min="2" max="2" width="13.42578125" customWidth="1"/>
    <col min="3" max="3" width="20.42578125" bestFit="1" customWidth="1"/>
    <col min="4" max="4" width="25.5703125" bestFit="1" customWidth="1"/>
    <col min="5" max="5" width="20" customWidth="1"/>
    <col min="6" max="6" width="26.7109375" customWidth="1"/>
    <col min="7" max="7" width="23.28515625" customWidth="1"/>
    <col min="8" max="8" width="29" bestFit="1" customWidth="1"/>
    <col min="9" max="9" width="29.28515625" customWidth="1"/>
    <col min="10" max="10" width="30.85546875" customWidth="1"/>
    <col min="11" max="11" width="30.140625" customWidth="1"/>
    <col min="12" max="12" width="28.28515625" customWidth="1"/>
    <col min="13" max="13" width="30.140625" bestFit="1" customWidth="1"/>
    <col min="14" max="14" width="9.140625" customWidth="1"/>
  </cols>
  <sheetData>
    <row r="1" spans="1:12" ht="21">
      <c r="A1" s="23" t="s">
        <v>0</v>
      </c>
    </row>
    <row r="2" spans="1:12" ht="15.75">
      <c r="A2" s="202" t="s">
        <v>1</v>
      </c>
    </row>
    <row r="3" spans="1:12">
      <c r="A3" s="198" t="s">
        <v>2</v>
      </c>
    </row>
    <row r="4" spans="1:12">
      <c r="E4" s="4"/>
      <c r="K4" t="s">
        <v>6</v>
      </c>
    </row>
    <row r="6" spans="1:12">
      <c r="A6" s="25" t="s">
        <v>21</v>
      </c>
      <c r="B6" s="26"/>
      <c r="C6" s="26"/>
      <c r="D6" s="26"/>
      <c r="E6" s="26"/>
      <c r="F6" s="26"/>
      <c r="G6" s="27"/>
      <c r="H6" s="28"/>
      <c r="I6" s="28"/>
      <c r="J6" s="29"/>
      <c r="K6" s="29"/>
      <c r="L6" s="29"/>
    </row>
    <row r="7" spans="1:1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.7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20.25">
      <c r="A9" s="31" t="s">
        <v>231</v>
      </c>
      <c r="B9" s="28"/>
      <c r="C9" s="28"/>
      <c r="D9" s="28"/>
      <c r="E9" s="28"/>
      <c r="F9" s="28"/>
      <c r="G9" s="28"/>
      <c r="H9" s="28"/>
      <c r="I9" s="28"/>
      <c r="J9" s="28"/>
      <c r="L9" s="28"/>
    </row>
    <row r="10" spans="1:12" ht="15.75" thickBot="1">
      <c r="A10" s="32" t="s">
        <v>6</v>
      </c>
      <c r="B10" s="33" t="s">
        <v>6</v>
      </c>
      <c r="C10" s="33" t="s">
        <v>6</v>
      </c>
      <c r="D10" s="33"/>
      <c r="E10" s="33"/>
      <c r="F10" s="33"/>
      <c r="G10" s="33" t="s">
        <v>6</v>
      </c>
      <c r="H10" s="34"/>
      <c r="I10" s="34"/>
      <c r="J10" s="34"/>
    </row>
    <row r="11" spans="1:12" ht="15.75">
      <c r="A11" s="203"/>
      <c r="B11" s="204"/>
      <c r="C11" s="205"/>
      <c r="D11" s="206" t="s">
        <v>30</v>
      </c>
      <c r="E11" s="206" t="s">
        <v>6</v>
      </c>
      <c r="F11" s="207" t="s">
        <v>6</v>
      </c>
      <c r="G11" s="204"/>
      <c r="H11" s="208" t="s">
        <v>6</v>
      </c>
      <c r="I11" s="208" t="s">
        <v>6</v>
      </c>
      <c r="J11" s="208" t="s">
        <v>6</v>
      </c>
    </row>
    <row r="12" spans="1:12" ht="15.75">
      <c r="A12" s="210" t="s">
        <v>6</v>
      </c>
      <c r="B12" s="211" t="s">
        <v>27</v>
      </c>
      <c r="C12" s="35" t="s">
        <v>28</v>
      </c>
      <c r="D12" s="212" t="s">
        <v>29</v>
      </c>
      <c r="E12" s="212" t="s">
        <v>30</v>
      </c>
      <c r="F12" s="40" t="s">
        <v>30</v>
      </c>
      <c r="G12" s="213" t="s">
        <v>6</v>
      </c>
      <c r="H12" s="211" t="s">
        <v>23</v>
      </c>
      <c r="I12" s="211" t="s">
        <v>23</v>
      </c>
      <c r="J12" s="215" t="s">
        <v>23</v>
      </c>
    </row>
    <row r="13" spans="1:12" ht="15.75">
      <c r="A13" s="210"/>
      <c r="B13" s="211"/>
      <c r="C13" s="35"/>
      <c r="D13" s="212"/>
      <c r="E13" s="212" t="s">
        <v>29</v>
      </c>
      <c r="F13" s="40" t="s">
        <v>25</v>
      </c>
      <c r="G13" s="213" t="s">
        <v>23</v>
      </c>
      <c r="H13" s="211" t="s">
        <v>26</v>
      </c>
      <c r="I13" s="214" t="s">
        <v>32</v>
      </c>
      <c r="J13" s="215" t="s">
        <v>47</v>
      </c>
    </row>
    <row r="14" spans="1:12" ht="16.5" thickBot="1">
      <c r="A14" s="216" t="s">
        <v>34</v>
      </c>
      <c r="B14" s="217" t="s">
        <v>35</v>
      </c>
      <c r="C14" s="38" t="s">
        <v>36</v>
      </c>
      <c r="D14" s="217" t="s">
        <v>37</v>
      </c>
      <c r="E14" s="217" t="s">
        <v>38</v>
      </c>
      <c r="F14" s="38" t="s">
        <v>29</v>
      </c>
      <c r="G14" s="217" t="s">
        <v>29</v>
      </c>
      <c r="H14" s="217" t="s">
        <v>232</v>
      </c>
      <c r="I14" s="217" t="s">
        <v>40</v>
      </c>
      <c r="J14" s="217" t="s">
        <v>40</v>
      </c>
    </row>
    <row r="15" spans="1:12" ht="15.75">
      <c r="A15" s="218" t="s">
        <v>41</v>
      </c>
      <c r="B15" s="219" t="s">
        <v>41</v>
      </c>
      <c r="C15" s="42" t="s">
        <v>41</v>
      </c>
      <c r="D15" s="219" t="s">
        <v>95</v>
      </c>
      <c r="E15" s="219" t="s">
        <v>95</v>
      </c>
      <c r="F15" s="42"/>
      <c r="G15" s="219" t="s">
        <v>41</v>
      </c>
      <c r="H15" s="219" t="s">
        <v>42</v>
      </c>
      <c r="I15" s="219" t="s">
        <v>42</v>
      </c>
      <c r="J15" s="219" t="s">
        <v>42</v>
      </c>
    </row>
    <row r="16" spans="1:12" ht="15.75">
      <c r="A16" s="210"/>
      <c r="B16" s="211"/>
      <c r="C16" s="35"/>
      <c r="D16" s="211"/>
      <c r="E16" s="211"/>
      <c r="F16" s="35"/>
      <c r="G16" s="211"/>
      <c r="H16" s="211"/>
      <c r="I16" s="221"/>
      <c r="J16" s="221"/>
    </row>
    <row r="17" spans="1:13" ht="15.75">
      <c r="A17" s="260" t="s">
        <v>234</v>
      </c>
      <c r="B17" s="261" t="s">
        <v>235</v>
      </c>
      <c r="C17" s="262" t="s">
        <v>233</v>
      </c>
      <c r="D17" s="225">
        <v>42.28</v>
      </c>
      <c r="E17" s="225">
        <v>41.71</v>
      </c>
      <c r="F17" s="230">
        <f t="shared" ref="F17:F21" si="0">AVERAGE(D17,E17)</f>
        <v>41.995000000000005</v>
      </c>
      <c r="G17" s="225">
        <v>42.22</v>
      </c>
      <c r="H17" s="228">
        <f>976000000</f>
        <v>976000000</v>
      </c>
      <c r="I17" s="228">
        <v>0</v>
      </c>
      <c r="J17" s="228">
        <f>1819000000+35093000000</f>
        <v>36912000000</v>
      </c>
    </row>
    <row r="18" spans="1:13" ht="15.75">
      <c r="A18" s="259" t="s">
        <v>236</v>
      </c>
      <c r="B18" s="223" t="s">
        <v>237</v>
      </c>
      <c r="C18" s="224" t="s">
        <v>233</v>
      </c>
      <c r="D18" s="225">
        <v>37.64</v>
      </c>
      <c r="E18" s="227">
        <v>36.36</v>
      </c>
      <c r="F18" s="230">
        <f t="shared" si="0"/>
        <v>37</v>
      </c>
      <c r="G18" s="227">
        <v>37.549999999999997</v>
      </c>
      <c r="H18" s="263">
        <f>244231933</f>
        <v>244231933</v>
      </c>
      <c r="I18" s="228">
        <v>0</v>
      </c>
      <c r="J18" s="228">
        <f>8691000000+1000000</f>
        <v>8692000000</v>
      </c>
      <c r="M18" s="232" t="s">
        <v>6</v>
      </c>
    </row>
    <row r="19" spans="1:13" ht="15.75">
      <c r="A19" s="259" t="s">
        <v>213</v>
      </c>
      <c r="B19" s="223" t="s">
        <v>197</v>
      </c>
      <c r="C19" s="224" t="s">
        <v>233</v>
      </c>
      <c r="D19" s="225">
        <v>61.48</v>
      </c>
      <c r="E19" s="225">
        <v>60.45</v>
      </c>
      <c r="F19" s="230">
        <f t="shared" si="0"/>
        <v>60.965000000000003</v>
      </c>
      <c r="G19" s="225">
        <v>61.43</v>
      </c>
      <c r="H19" s="228">
        <f>1100000000-1000000</f>
        <v>1099000000</v>
      </c>
      <c r="I19" s="228">
        <v>291000000</v>
      </c>
      <c r="J19" s="228">
        <f>45073000000+3507000000</f>
        <v>48580000000</v>
      </c>
    </row>
    <row r="20" spans="1:13" ht="15.75">
      <c r="A20" s="264" t="s">
        <v>238</v>
      </c>
      <c r="B20" s="223" t="s">
        <v>239</v>
      </c>
      <c r="C20" s="224" t="s">
        <v>233</v>
      </c>
      <c r="D20" s="225">
        <v>9.75</v>
      </c>
      <c r="E20" s="225">
        <v>9.6199999999999992</v>
      </c>
      <c r="F20" s="230">
        <f t="shared" si="0"/>
        <v>9.6849999999999987</v>
      </c>
      <c r="G20" s="225">
        <v>9.67</v>
      </c>
      <c r="H20" s="228">
        <v>269800000</v>
      </c>
      <c r="I20" s="228">
        <v>739988100</v>
      </c>
      <c r="J20" s="228">
        <f>3227000000*0.78555</f>
        <v>2534969850</v>
      </c>
    </row>
    <row r="21" spans="1:13" ht="16.5" thickBot="1">
      <c r="A21" s="265" t="s">
        <v>240</v>
      </c>
      <c r="B21" s="236" t="s">
        <v>241</v>
      </c>
      <c r="C21" s="17" t="s">
        <v>233</v>
      </c>
      <c r="D21" s="266">
        <v>19.75</v>
      </c>
      <c r="E21" s="240">
        <v>19.399999999999999</v>
      </c>
      <c r="F21" s="267">
        <f t="shared" si="0"/>
        <v>19.574999999999999</v>
      </c>
      <c r="G21" s="240">
        <v>19.66</v>
      </c>
      <c r="H21" s="241">
        <f>489305888</f>
        <v>489305888</v>
      </c>
      <c r="I21" s="241">
        <v>0</v>
      </c>
      <c r="J21" s="241">
        <f>(95+9235)*1000000</f>
        <v>9330000000</v>
      </c>
    </row>
    <row r="22" spans="1:13" ht="15.75">
      <c r="A22" s="49"/>
      <c r="B22" s="49"/>
      <c r="C22" s="49"/>
      <c r="D22" s="49"/>
      <c r="E22" s="49"/>
      <c r="F22" s="49"/>
      <c r="G22" s="49"/>
      <c r="H22" s="49"/>
      <c r="I22" s="49"/>
      <c r="J22" s="49"/>
    </row>
    <row r="23" spans="1:13" ht="16.5" thickBot="1">
      <c r="A23" s="48"/>
      <c r="B23" s="48"/>
      <c r="C23" s="48"/>
      <c r="D23" s="48"/>
      <c r="E23" s="48"/>
      <c r="F23" s="48"/>
      <c r="G23" s="48"/>
      <c r="H23" s="48"/>
      <c r="I23" s="48"/>
      <c r="J23" s="49"/>
    </row>
    <row r="24" spans="1:13" ht="15.75">
      <c r="A24" s="49"/>
      <c r="B24" s="268"/>
      <c r="C24" s="49"/>
      <c r="D24" s="268"/>
      <c r="E24" s="208" t="s">
        <v>6</v>
      </c>
      <c r="F24" s="268"/>
      <c r="G24" s="49"/>
      <c r="H24" s="268"/>
      <c r="I24" s="268"/>
      <c r="J24" s="49"/>
    </row>
    <row r="25" spans="1:13" ht="15.75">
      <c r="A25" s="35"/>
      <c r="B25" s="211"/>
      <c r="C25" s="35"/>
      <c r="D25" s="213" t="s">
        <v>23</v>
      </c>
      <c r="E25" s="211" t="s">
        <v>23</v>
      </c>
      <c r="F25" s="213" t="s">
        <v>23</v>
      </c>
      <c r="G25" s="36" t="s">
        <v>23</v>
      </c>
      <c r="H25" s="213" t="s">
        <v>23</v>
      </c>
      <c r="I25" s="213" t="s">
        <v>23</v>
      </c>
      <c r="J25" s="36" t="s">
        <v>6</v>
      </c>
      <c r="L25" s="2"/>
    </row>
    <row r="26" spans="1:13" ht="15.75">
      <c r="A26" s="35" t="s">
        <v>6</v>
      </c>
      <c r="B26" s="211" t="s">
        <v>27</v>
      </c>
      <c r="C26" s="35" t="s">
        <v>28</v>
      </c>
      <c r="D26" s="211" t="s">
        <v>26</v>
      </c>
      <c r="E26" s="214" t="s">
        <v>32</v>
      </c>
      <c r="F26" s="211" t="s">
        <v>201</v>
      </c>
      <c r="G26" s="37" t="s">
        <v>48</v>
      </c>
      <c r="H26" s="215" t="s">
        <v>49</v>
      </c>
      <c r="I26" s="215" t="s">
        <v>202</v>
      </c>
      <c r="J26" s="37" t="s">
        <v>6</v>
      </c>
      <c r="L26" s="2"/>
    </row>
    <row r="27" spans="1:13" ht="16.5" thickBot="1">
      <c r="A27" s="38" t="s">
        <v>34</v>
      </c>
      <c r="B27" s="217" t="s">
        <v>35</v>
      </c>
      <c r="C27" s="38" t="s">
        <v>36</v>
      </c>
      <c r="D27" s="217" t="s">
        <v>51</v>
      </c>
      <c r="E27" s="217" t="s">
        <v>51</v>
      </c>
      <c r="F27" s="217" t="s">
        <v>51</v>
      </c>
      <c r="G27" s="38" t="s">
        <v>52</v>
      </c>
      <c r="H27" s="217" t="s">
        <v>6</v>
      </c>
      <c r="I27" s="217" t="s">
        <v>6</v>
      </c>
      <c r="J27" s="35" t="s">
        <v>6</v>
      </c>
      <c r="L27" s="243"/>
    </row>
    <row r="28" spans="1:13" ht="15.75">
      <c r="A28" s="269" t="s">
        <v>41</v>
      </c>
      <c r="B28" s="270" t="s">
        <v>41</v>
      </c>
      <c r="C28" s="43" t="s">
        <v>41</v>
      </c>
      <c r="D28" s="270" t="s">
        <v>53</v>
      </c>
      <c r="E28" s="270" t="s">
        <v>42</v>
      </c>
      <c r="F28" s="270" t="s">
        <v>42</v>
      </c>
      <c r="G28" s="43" t="s">
        <v>53</v>
      </c>
      <c r="H28" s="270" t="s">
        <v>53</v>
      </c>
      <c r="I28" s="270" t="s">
        <v>53</v>
      </c>
      <c r="J28" s="35"/>
      <c r="L28" s="224"/>
    </row>
    <row r="29" spans="1:13" ht="15.75">
      <c r="A29" s="210"/>
      <c r="B29" s="211"/>
      <c r="C29" s="35"/>
      <c r="D29" s="271"/>
      <c r="E29" s="271"/>
      <c r="F29" s="271"/>
      <c r="G29" s="220"/>
      <c r="H29" s="221"/>
      <c r="I29" s="221"/>
      <c r="J29" s="44" t="s">
        <v>6</v>
      </c>
      <c r="L29" s="49"/>
    </row>
    <row r="30" spans="1:13" ht="15.75">
      <c r="A30" s="233" t="str">
        <f t="shared" ref="A30:C34" si="1">+A17</f>
        <v>Exelon Corp</v>
      </c>
      <c r="B30" s="275" t="str">
        <f t="shared" si="1"/>
        <v>EXC</v>
      </c>
      <c r="C30" s="262" t="str">
        <f t="shared" si="1"/>
        <v>Wholesale Power</v>
      </c>
      <c r="D30" s="273">
        <f>(+H17)*G17</f>
        <v>41206720000</v>
      </c>
      <c r="E30" s="276">
        <f>(1/1)*I17</f>
        <v>0</v>
      </c>
      <c r="F30" s="273">
        <f>J17*(7221/7175)</f>
        <v>37148648362.369339</v>
      </c>
      <c r="G30" s="229">
        <f t="shared" ref="G30:G34" si="2">+D30+E30+F30</f>
        <v>78355368362.369339</v>
      </c>
      <c r="H30" s="274">
        <f t="shared" ref="H30:H34" si="3">(+D30)/G30</f>
        <v>0.52589530061848055</v>
      </c>
      <c r="I30" s="274">
        <f>(+E30+F30)/G30</f>
        <v>0.4741046993815195</v>
      </c>
      <c r="J30" s="57" t="s">
        <v>6</v>
      </c>
      <c r="L30" s="49"/>
    </row>
    <row r="31" spans="1:13" ht="15.75">
      <c r="A31" s="222" t="str">
        <f t="shared" si="1"/>
        <v>NRG Energy</v>
      </c>
      <c r="B31" s="272" t="str">
        <f t="shared" si="1"/>
        <v>NRG</v>
      </c>
      <c r="C31" s="224" t="str">
        <f t="shared" si="1"/>
        <v>Wholesale Power</v>
      </c>
      <c r="D31" s="273">
        <f>(+H18)*G18</f>
        <v>9170909084.1499996</v>
      </c>
      <c r="E31" s="276">
        <f>(1/1)*I18</f>
        <v>0</v>
      </c>
      <c r="F31" s="273">
        <f>J18*(9446/8781)</f>
        <v>9350259879.2848206</v>
      </c>
      <c r="G31" s="229">
        <f t="shared" si="2"/>
        <v>18521168963.434822</v>
      </c>
      <c r="H31" s="274">
        <f t="shared" si="3"/>
        <v>0.49515822150618832</v>
      </c>
      <c r="I31" s="274">
        <f t="shared" ref="I31:I34" si="4">(+E31+F31)/G31</f>
        <v>0.50484177849381162</v>
      </c>
      <c r="J31" s="57" t="s">
        <v>6</v>
      </c>
      <c r="L31" s="49"/>
    </row>
    <row r="32" spans="1:13" ht="15.75">
      <c r="A32" s="222" t="str">
        <f t="shared" si="1"/>
        <v>Southern Company</v>
      </c>
      <c r="B32" s="272" t="str">
        <f t="shared" si="1"/>
        <v>SO</v>
      </c>
      <c r="C32" s="224" t="str">
        <f t="shared" si="1"/>
        <v>Wholesale Power</v>
      </c>
      <c r="D32" s="273">
        <f>(+H19)*G19</f>
        <v>67511570000</v>
      </c>
      <c r="E32" s="273">
        <f>(1/1)*I19</f>
        <v>291000000</v>
      </c>
      <c r="F32" s="273">
        <f>J19*(56264/48349)</f>
        <v>56532815983.784569</v>
      </c>
      <c r="G32" s="229">
        <f t="shared" si="2"/>
        <v>124335385983.78458</v>
      </c>
      <c r="H32" s="274">
        <f t="shared" si="3"/>
        <v>0.54297953447303127</v>
      </c>
      <c r="I32" s="274">
        <f t="shared" si="4"/>
        <v>0.45702046552696873</v>
      </c>
      <c r="J32" s="57"/>
      <c r="L32" s="49"/>
    </row>
    <row r="33" spans="1:12" ht="15.75">
      <c r="A33" s="222" t="str">
        <f t="shared" si="1"/>
        <v>Transalta Corporation</v>
      </c>
      <c r="B33" s="272" t="str">
        <f t="shared" si="1"/>
        <v>TSE-TA.TO</v>
      </c>
      <c r="C33" s="224" t="str">
        <f t="shared" si="1"/>
        <v>Wholesale Power</v>
      </c>
      <c r="D33" s="273">
        <f>(+H20)*G20</f>
        <v>2608966000</v>
      </c>
      <c r="E33" s="273">
        <f>(1/1)*I20</f>
        <v>739988100</v>
      </c>
      <c r="F33" s="273">
        <f>J20*(3480/3227)</f>
        <v>2733714000</v>
      </c>
      <c r="G33" s="229">
        <f t="shared" si="2"/>
        <v>6082668100</v>
      </c>
      <c r="H33" s="274">
        <f t="shared" si="3"/>
        <v>0.42891802694281478</v>
      </c>
      <c r="I33" s="274">
        <f t="shared" si="4"/>
        <v>0.57108197305718522</v>
      </c>
      <c r="J33" s="57"/>
      <c r="L33" s="49"/>
    </row>
    <row r="34" spans="1:12" ht="16.5" thickBot="1">
      <c r="A34" s="235" t="str">
        <f t="shared" si="1"/>
        <v>Vistra Energy</v>
      </c>
      <c r="B34" s="277" t="str">
        <f t="shared" si="1"/>
        <v>VST</v>
      </c>
      <c r="C34" s="17" t="str">
        <f t="shared" si="1"/>
        <v>Wholesale Power</v>
      </c>
      <c r="D34" s="278">
        <f>(+H21)*G21</f>
        <v>9619753758.0799999</v>
      </c>
      <c r="E34" s="278">
        <f>(1/1)*I21</f>
        <v>0</v>
      </c>
      <c r="F34" s="278">
        <f>J21*(2565/2579)</f>
        <v>9279352462.1946487</v>
      </c>
      <c r="G34" s="129">
        <f t="shared" si="2"/>
        <v>18899106220.274651</v>
      </c>
      <c r="H34" s="279">
        <f t="shared" si="3"/>
        <v>0.50900575116933766</v>
      </c>
      <c r="I34" s="279">
        <f t="shared" si="4"/>
        <v>0.49099424883066228</v>
      </c>
      <c r="J34" s="57" t="s">
        <v>6</v>
      </c>
      <c r="L34" s="49"/>
    </row>
    <row r="36" spans="1:12" ht="15.75">
      <c r="A36" t="s">
        <v>242</v>
      </c>
      <c r="J36" s="57" t="s">
        <v>6</v>
      </c>
    </row>
    <row r="37" spans="1:12" ht="15.75">
      <c r="C37" s="132" t="s">
        <v>6</v>
      </c>
      <c r="D37" s="87" t="s">
        <v>6</v>
      </c>
      <c r="E37" s="87"/>
      <c r="F37" t="s">
        <v>6</v>
      </c>
      <c r="G37" s="87" t="s">
        <v>55</v>
      </c>
      <c r="H37" s="194" t="s">
        <v>243</v>
      </c>
      <c r="I37" s="194" t="s">
        <v>244</v>
      </c>
      <c r="J37" s="58" t="s">
        <v>6</v>
      </c>
    </row>
    <row r="38" spans="1:12" ht="15.75">
      <c r="C38" s="132" t="s">
        <v>6</v>
      </c>
      <c r="D38" s="133" t="s">
        <v>6</v>
      </c>
      <c r="E38" s="133"/>
      <c r="F38" t="s">
        <v>6</v>
      </c>
      <c r="G38" s="87" t="s">
        <v>57</v>
      </c>
      <c r="H38" s="246">
        <f>MEDIAN(H30:H34)</f>
        <v>0.50900575116933766</v>
      </c>
      <c r="I38" s="54">
        <f>MEDIAN(I30:I34)</f>
        <v>0.49099424883066228</v>
      </c>
      <c r="J38" s="12" t="s">
        <v>6</v>
      </c>
    </row>
    <row r="39" spans="1:12" ht="15.75">
      <c r="C39" s="132" t="s">
        <v>6</v>
      </c>
      <c r="D39" s="133" t="s">
        <v>6</v>
      </c>
      <c r="E39" s="133"/>
      <c r="F39" t="s">
        <v>6</v>
      </c>
      <c r="G39" s="87" t="s">
        <v>25</v>
      </c>
      <c r="H39" s="246">
        <f>AVERAGE(H30:H34)</f>
        <v>0.50039136694197051</v>
      </c>
      <c r="I39" s="54">
        <f>AVERAGE(I30:I34)</f>
        <v>0.49960863305802955</v>
      </c>
      <c r="J39" s="12" t="s">
        <v>6</v>
      </c>
    </row>
    <row r="40" spans="1:12" ht="15.75">
      <c r="H40" s="24"/>
      <c r="I40" s="24"/>
      <c r="J40" s="24" t="s">
        <v>6</v>
      </c>
    </row>
    <row r="41" spans="1:12" ht="21">
      <c r="G41" s="61" t="s">
        <v>20</v>
      </c>
      <c r="H41" s="247">
        <v>0.51</v>
      </c>
      <c r="I41" s="163">
        <v>0.49</v>
      </c>
      <c r="J41" s="248" t="s">
        <v>6</v>
      </c>
    </row>
    <row r="42" spans="1:12" ht="15.75">
      <c r="H42" s="24"/>
      <c r="I42" s="24"/>
      <c r="J42" s="24" t="s">
        <v>6</v>
      </c>
    </row>
  </sheetData>
  <pageMargins left="0.25" right="0.25" top="0.75" bottom="0.75" header="0.3" footer="0.3"/>
  <pageSetup scale="41" orientation="landscape" r:id="rId1"/>
  <rowBreaks count="2" manualBreakCount="2">
    <brk id="41" max="10" man="1"/>
    <brk id="45" max="10" man="1"/>
  </rowBreaks>
  <colBreaks count="1" manualBreakCount="1">
    <brk id="11" max="71" man="1"/>
  </colBreaks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K25"/>
  <sheetViews>
    <sheetView zoomScaleNormal="100" workbookViewId="0">
      <pane xSplit="1" topLeftCell="B1" activePane="topRight" state="frozen"/>
      <selection activeCell="D9" sqref="D9"/>
      <selection pane="topRight" activeCell="A14" activeCellId="1" sqref="A12:XFD12 A14:XFD14"/>
    </sheetView>
  </sheetViews>
  <sheetFormatPr defaultRowHeight="15"/>
  <cols>
    <col min="1" max="1" width="40.85546875" customWidth="1"/>
    <col min="2" max="2" width="10.85546875" bestFit="1" customWidth="1"/>
    <col min="3" max="3" width="19.140625" bestFit="1" customWidth="1"/>
    <col min="4" max="5" width="19.140625" customWidth="1"/>
    <col min="6" max="6" width="13.7109375" customWidth="1"/>
    <col min="7" max="7" width="14.140625" customWidth="1"/>
    <col min="8" max="8" width="16.28515625" customWidth="1"/>
    <col min="9" max="9" width="14.5703125" customWidth="1"/>
    <col min="10" max="10" width="14.140625" bestFit="1" customWidth="1"/>
  </cols>
  <sheetData>
    <row r="1" spans="1:11" ht="21">
      <c r="A1" s="23" t="s">
        <v>0</v>
      </c>
    </row>
    <row r="2" spans="1:11" ht="15.75">
      <c r="A2" s="202" t="s">
        <v>1</v>
      </c>
    </row>
    <row r="3" spans="1:11">
      <c r="A3" s="198" t="s">
        <v>2</v>
      </c>
    </row>
    <row r="4" spans="1:11">
      <c r="F4" s="4" t="s">
        <v>6</v>
      </c>
      <c r="G4" s="4"/>
    </row>
    <row r="5" spans="1:11" ht="15.75">
      <c r="A5" s="76" t="s">
        <v>231</v>
      </c>
    </row>
    <row r="6" spans="1:11" ht="15.75" thickBot="1">
      <c r="A6" s="77" t="s">
        <v>6</v>
      </c>
      <c r="B6" s="77" t="s">
        <v>6</v>
      </c>
      <c r="C6" s="77" t="s">
        <v>6</v>
      </c>
      <c r="D6" s="77" t="s">
        <v>6</v>
      </c>
      <c r="E6" s="77" t="s">
        <v>6</v>
      </c>
      <c r="F6" s="77" t="s">
        <v>6</v>
      </c>
      <c r="G6" s="77"/>
      <c r="H6" s="77" t="s">
        <v>6</v>
      </c>
      <c r="I6" s="77" t="s">
        <v>6</v>
      </c>
    </row>
    <row r="7" spans="1:11">
      <c r="A7" s="8" t="s">
        <v>6</v>
      </c>
      <c r="B7" s="8" t="s">
        <v>27</v>
      </c>
      <c r="C7" s="8" t="s">
        <v>28</v>
      </c>
      <c r="D7" s="8" t="s">
        <v>63</v>
      </c>
      <c r="E7" s="8" t="s">
        <v>64</v>
      </c>
      <c r="F7" s="8" t="s">
        <v>65</v>
      </c>
      <c r="G7" s="8" t="s">
        <v>205</v>
      </c>
      <c r="H7" s="8" t="s">
        <v>68</v>
      </c>
      <c r="I7" s="8" t="s">
        <v>68</v>
      </c>
    </row>
    <row r="8" spans="1:11" ht="15.75" thickBot="1">
      <c r="A8" s="7" t="s">
        <v>34</v>
      </c>
      <c r="B8" s="7" t="s">
        <v>35</v>
      </c>
      <c r="C8" s="7" t="s">
        <v>36</v>
      </c>
      <c r="D8" s="7"/>
      <c r="E8" s="7" t="s">
        <v>69</v>
      </c>
      <c r="F8" s="7" t="s">
        <v>70</v>
      </c>
      <c r="G8" s="7" t="s">
        <v>71</v>
      </c>
      <c r="H8" s="7" t="s">
        <v>71</v>
      </c>
      <c r="I8" s="7" t="s">
        <v>72</v>
      </c>
    </row>
    <row r="9" spans="1:11">
      <c r="A9" s="9" t="s">
        <v>41</v>
      </c>
      <c r="B9" s="9" t="s">
        <v>41</v>
      </c>
      <c r="C9" s="9" t="s">
        <v>41</v>
      </c>
      <c r="D9" s="9" t="s">
        <v>41</v>
      </c>
      <c r="E9" s="9" t="s">
        <v>41</v>
      </c>
      <c r="F9" s="9" t="s">
        <v>41</v>
      </c>
      <c r="G9" s="9" t="s">
        <v>66</v>
      </c>
      <c r="H9" s="9" t="s">
        <v>68</v>
      </c>
      <c r="I9" s="9" t="s">
        <v>68</v>
      </c>
    </row>
    <row r="10" spans="1:11">
      <c r="A10" s="8"/>
      <c r="B10" s="8"/>
      <c r="C10" s="8"/>
      <c r="D10" s="8"/>
      <c r="E10" s="8"/>
      <c r="F10" s="8"/>
      <c r="G10" s="8"/>
      <c r="H10" s="8"/>
      <c r="I10" s="8"/>
    </row>
    <row r="12" spans="1:11">
      <c r="A12" s="151" t="s">
        <v>234</v>
      </c>
      <c r="B12" s="3" t="s">
        <v>235</v>
      </c>
      <c r="C12" s="3" t="s">
        <v>233</v>
      </c>
      <c r="D12" s="98">
        <v>0.95</v>
      </c>
      <c r="E12" s="148">
        <v>0.125</v>
      </c>
      <c r="F12" s="3" t="s">
        <v>110</v>
      </c>
      <c r="G12" s="80" t="s">
        <v>208</v>
      </c>
      <c r="H12" s="78" t="s">
        <v>77</v>
      </c>
      <c r="I12" s="81">
        <v>3.2899999999999999E-2</v>
      </c>
      <c r="J12" t="s">
        <v>6</v>
      </c>
    </row>
    <row r="13" spans="1:11">
      <c r="A13" s="60" t="s">
        <v>236</v>
      </c>
      <c r="B13" s="80" t="s">
        <v>237</v>
      </c>
      <c r="C13" s="3" t="s">
        <v>233</v>
      </c>
      <c r="D13" s="98">
        <v>1.2</v>
      </c>
      <c r="E13" s="148">
        <v>0.32900000000000001</v>
      </c>
      <c r="F13" s="3" t="s">
        <v>110</v>
      </c>
      <c r="G13" s="80" t="s">
        <v>245</v>
      </c>
      <c r="H13" s="78" t="s">
        <v>246</v>
      </c>
      <c r="I13" s="81">
        <v>6.13E-2</v>
      </c>
    </row>
    <row r="14" spans="1:11">
      <c r="A14" s="151" t="s">
        <v>213</v>
      </c>
      <c r="B14" s="3" t="s">
        <v>197</v>
      </c>
      <c r="C14" s="3" t="s">
        <v>233</v>
      </c>
      <c r="D14" s="98">
        <v>0.95</v>
      </c>
      <c r="E14" s="148">
        <v>0.16</v>
      </c>
      <c r="F14" s="3" t="s">
        <v>206</v>
      </c>
      <c r="G14" s="197" t="s">
        <v>207</v>
      </c>
      <c r="H14" s="78" t="s">
        <v>111</v>
      </c>
      <c r="I14" s="81">
        <v>3.2899999999999999E-2</v>
      </c>
      <c r="K14" s="251" t="s">
        <v>6</v>
      </c>
    </row>
    <row r="15" spans="1:11">
      <c r="A15" s="151" t="s">
        <v>238</v>
      </c>
      <c r="B15" s="3" t="s">
        <v>239</v>
      </c>
      <c r="C15" s="3" t="s">
        <v>233</v>
      </c>
      <c r="D15" s="98">
        <v>1.1000000000000001</v>
      </c>
      <c r="E15" s="81">
        <v>0</v>
      </c>
      <c r="F15" s="3" t="s">
        <v>120</v>
      </c>
      <c r="G15" s="80" t="s">
        <v>245</v>
      </c>
      <c r="H15" s="78" t="s">
        <v>106</v>
      </c>
      <c r="I15" s="81">
        <v>5.4600000000000003E-2</v>
      </c>
    </row>
    <row r="16" spans="1:11">
      <c r="A16" s="60" t="s">
        <v>240</v>
      </c>
      <c r="B16" s="80" t="s">
        <v>241</v>
      </c>
      <c r="C16" s="3" t="s">
        <v>233</v>
      </c>
      <c r="D16" s="98">
        <v>1.1499999999999999</v>
      </c>
      <c r="E16" s="148">
        <v>0.29899999999999999</v>
      </c>
      <c r="F16" s="3" t="s">
        <v>110</v>
      </c>
      <c r="G16" s="197" t="s">
        <v>245</v>
      </c>
      <c r="H16" s="78" t="s">
        <v>106</v>
      </c>
      <c r="I16" s="81">
        <v>5.4600000000000003E-2</v>
      </c>
    </row>
    <row r="17" spans="1:10" ht="15.75" thickBot="1">
      <c r="C17" s="22"/>
      <c r="D17" s="83"/>
      <c r="E17" s="83"/>
      <c r="F17" s="83"/>
      <c r="G17" s="83"/>
      <c r="H17" s="83" t="s">
        <v>214</v>
      </c>
      <c r="I17" s="83"/>
    </row>
    <row r="18" spans="1:10" ht="15.75" thickTop="1">
      <c r="C18" s="87" t="s">
        <v>55</v>
      </c>
      <c r="D18" s="85" t="s">
        <v>247</v>
      </c>
      <c r="E18" s="85" t="s">
        <v>248</v>
      </c>
      <c r="F18" s="3" t="s">
        <v>217</v>
      </c>
      <c r="G18" s="3" t="s">
        <v>561</v>
      </c>
      <c r="H18" s="85" t="s">
        <v>249</v>
      </c>
      <c r="I18" s="85" t="s">
        <v>250</v>
      </c>
    </row>
    <row r="19" spans="1:10">
      <c r="C19" s="87" t="s">
        <v>57</v>
      </c>
      <c r="D19" s="88">
        <f>MEDIAN(D12:D16)</f>
        <v>1.1000000000000001</v>
      </c>
      <c r="E19" s="89">
        <f>MEDIAN(E12:E16)</f>
        <v>0.16</v>
      </c>
      <c r="F19" s="87" t="s">
        <v>6</v>
      </c>
      <c r="G19" s="87"/>
      <c r="H19" s="89" t="s">
        <v>6</v>
      </c>
      <c r="I19" s="89">
        <f>MEDIAN(I12:I16)</f>
        <v>5.4600000000000003E-2</v>
      </c>
    </row>
    <row r="20" spans="1:10">
      <c r="C20" s="87" t="s">
        <v>25</v>
      </c>
      <c r="D20" s="90">
        <f>AVERAGE(D12:D16)</f>
        <v>1.0699999999999998</v>
      </c>
      <c r="E20" s="91">
        <f>AVERAGE(E12:E16)</f>
        <v>0.18260000000000001</v>
      </c>
      <c r="F20" s="87" t="s">
        <v>6</v>
      </c>
      <c r="G20" s="87"/>
      <c r="H20" s="91" t="s">
        <v>6</v>
      </c>
      <c r="I20" s="91">
        <f>AVERAGE(I12:I16)</f>
        <v>4.7260000000000003E-2</v>
      </c>
    </row>
    <row r="22" spans="1:10" ht="21">
      <c r="H22" s="61" t="s">
        <v>78</v>
      </c>
      <c r="I22" s="93">
        <v>5.4600000000000003E-2</v>
      </c>
      <c r="J22" s="94" t="s">
        <v>6</v>
      </c>
    </row>
    <row r="24" spans="1:10">
      <c r="A24" s="132" t="s">
        <v>251</v>
      </c>
    </row>
    <row r="25" spans="1:10">
      <c r="A25" s="132" t="s">
        <v>252</v>
      </c>
    </row>
  </sheetData>
  <pageMargins left="0.25" right="0.25" top="0.75" bottom="0.75" header="0.3" footer="0.3"/>
  <pageSetup scale="65" orientation="landscape" r:id="rId1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I41"/>
  <sheetViews>
    <sheetView topLeftCell="A7" zoomScaleNormal="100" workbookViewId="0">
      <selection activeCell="F31" sqref="F31"/>
    </sheetView>
  </sheetViews>
  <sheetFormatPr defaultRowHeight="15"/>
  <cols>
    <col min="1" max="1" width="43.7109375" customWidth="1"/>
    <col min="2" max="2" width="12.28515625" bestFit="1" customWidth="1"/>
    <col min="3" max="3" width="22.140625" customWidth="1"/>
    <col min="4" max="4" width="22.5703125" customWidth="1"/>
    <col min="5" max="5" width="14.7109375" bestFit="1" customWidth="1"/>
    <col min="6" max="6" width="23.5703125" customWidth="1"/>
  </cols>
  <sheetData>
    <row r="1" spans="1:6" ht="21">
      <c r="A1" s="23" t="s">
        <v>0</v>
      </c>
    </row>
    <row r="2" spans="1:6" ht="15.75">
      <c r="A2" s="24" t="s">
        <v>1</v>
      </c>
    </row>
    <row r="3" spans="1:6">
      <c r="A3" s="22" t="s">
        <v>2</v>
      </c>
    </row>
    <row r="4" spans="1:6">
      <c r="D4" s="4" t="s">
        <v>6</v>
      </c>
    </row>
    <row r="5" spans="1:6" ht="15.75">
      <c r="A5" s="76" t="s">
        <v>231</v>
      </c>
    </row>
    <row r="6" spans="1:6" ht="15.75">
      <c r="A6" s="76"/>
    </row>
    <row r="7" spans="1:6" ht="18.75">
      <c r="A7" s="76"/>
      <c r="D7" s="95" t="s">
        <v>79</v>
      </c>
    </row>
    <row r="8" spans="1:6" ht="18.75">
      <c r="A8" s="76"/>
      <c r="D8" s="95" t="s">
        <v>80</v>
      </c>
    </row>
    <row r="9" spans="1:6" ht="15.75">
      <c r="A9" s="76"/>
      <c r="D9" s="280" t="s">
        <v>6</v>
      </c>
    </row>
    <row r="10" spans="1:6" ht="15.75" thickBot="1">
      <c r="A10" s="77" t="s">
        <v>6</v>
      </c>
      <c r="B10" s="77" t="s">
        <v>6</v>
      </c>
      <c r="C10" s="77" t="s">
        <v>6</v>
      </c>
      <c r="D10" s="77" t="s">
        <v>6</v>
      </c>
      <c r="E10" s="77" t="s">
        <v>6</v>
      </c>
      <c r="F10" s="77" t="s">
        <v>6</v>
      </c>
    </row>
    <row r="11" spans="1:6">
      <c r="A11" s="8" t="s">
        <v>6</v>
      </c>
      <c r="B11" s="8" t="s">
        <v>27</v>
      </c>
      <c r="C11" s="8" t="s">
        <v>6</v>
      </c>
      <c r="D11" s="8" t="s">
        <v>81</v>
      </c>
      <c r="E11" s="8" t="s">
        <v>81</v>
      </c>
      <c r="F11" s="8" t="s">
        <v>82</v>
      </c>
    </row>
    <row r="12" spans="1:6" ht="15.75" thickBot="1">
      <c r="A12" s="7" t="s">
        <v>34</v>
      </c>
      <c r="B12" s="7" t="s">
        <v>35</v>
      </c>
      <c r="C12" s="7" t="s">
        <v>83</v>
      </c>
      <c r="D12" s="7" t="s">
        <v>84</v>
      </c>
      <c r="E12" s="7" t="s">
        <v>85</v>
      </c>
      <c r="F12" s="7" t="s">
        <v>86</v>
      </c>
    </row>
    <row r="13" spans="1:6">
      <c r="A13" s="9" t="s">
        <v>6</v>
      </c>
      <c r="B13" s="9" t="s">
        <v>6</v>
      </c>
      <c r="C13" s="9" t="s">
        <v>41</v>
      </c>
      <c r="D13" s="115" t="s">
        <v>87</v>
      </c>
      <c r="E13" s="9" t="s">
        <v>6</v>
      </c>
      <c r="F13" s="9" t="s">
        <v>6</v>
      </c>
    </row>
    <row r="14" spans="1:6">
      <c r="A14" s="8"/>
      <c r="B14" s="8"/>
      <c r="C14" s="8"/>
      <c r="D14" s="8"/>
      <c r="E14" s="8"/>
      <c r="F14" s="8"/>
    </row>
    <row r="16" spans="1:6" ht="15.75">
      <c r="A16" s="60" t="s">
        <v>234</v>
      </c>
      <c r="B16" s="135" t="s">
        <v>235</v>
      </c>
      <c r="C16" s="46">
        <v>42.22</v>
      </c>
      <c r="D16" s="78">
        <v>9.1</v>
      </c>
      <c r="E16" s="98">
        <f t="shared" ref="E16:E19" si="0">C16/D16</f>
        <v>4.63956043956044</v>
      </c>
      <c r="F16" s="148">
        <f t="shared" ref="F16:F19" si="1">1/E16</f>
        <v>0.2155376598768356</v>
      </c>
    </row>
    <row r="17" spans="1:9" ht="15.75">
      <c r="A17" s="119" t="s">
        <v>236</v>
      </c>
      <c r="B17" s="3" t="s">
        <v>237</v>
      </c>
      <c r="C17" s="46">
        <v>37.549999999999997</v>
      </c>
      <c r="D17" s="78">
        <v>3.86</v>
      </c>
      <c r="E17" s="99">
        <f t="shared" si="0"/>
        <v>9.727979274611398</v>
      </c>
      <c r="F17" s="91">
        <f t="shared" si="1"/>
        <v>0.10279627163781625</v>
      </c>
    </row>
    <row r="18" spans="1:9" ht="15.75">
      <c r="A18" s="60" t="s">
        <v>213</v>
      </c>
      <c r="B18" s="135" t="s">
        <v>197</v>
      </c>
      <c r="C18" s="46">
        <v>61.43</v>
      </c>
      <c r="D18" s="98">
        <v>6.9</v>
      </c>
      <c r="E18" s="98">
        <f t="shared" si="0"/>
        <v>8.9028985507246379</v>
      </c>
      <c r="F18" s="148">
        <f t="shared" si="1"/>
        <v>0.11232296923327365</v>
      </c>
    </row>
    <row r="19" spans="1:9" ht="15.75">
      <c r="A19" s="60" t="s">
        <v>253</v>
      </c>
      <c r="B19" s="135" t="s">
        <v>239</v>
      </c>
      <c r="C19" s="46">
        <v>9.67</v>
      </c>
      <c r="D19" s="78">
        <v>1.35</v>
      </c>
      <c r="E19" s="98">
        <f t="shared" si="0"/>
        <v>7.1629629629629621</v>
      </c>
      <c r="F19" s="148">
        <f t="shared" si="1"/>
        <v>0.13960703205791108</v>
      </c>
      <c r="H19" t="s">
        <v>6</v>
      </c>
      <c r="I19" t="s">
        <v>6</v>
      </c>
    </row>
    <row r="20" spans="1:9" ht="15.75">
      <c r="A20" s="60" t="s">
        <v>240</v>
      </c>
      <c r="B20" s="135" t="s">
        <v>241</v>
      </c>
      <c r="C20" s="46">
        <v>19.66</v>
      </c>
      <c r="D20" s="78">
        <v>4.8499999999999996</v>
      </c>
      <c r="E20" s="98">
        <f>C20/D20</f>
        <v>4.0536082474226811</v>
      </c>
      <c r="F20" s="148">
        <f>1/E20</f>
        <v>0.24669379450661236</v>
      </c>
    </row>
    <row r="21" spans="1:9" ht="15.75" thickBot="1">
      <c r="C21" s="82"/>
      <c r="D21" s="82"/>
      <c r="E21" s="82"/>
      <c r="F21" s="82"/>
    </row>
    <row r="22" spans="1:9" ht="15.75" thickTop="1">
      <c r="B22" s="87" t="s">
        <v>55</v>
      </c>
      <c r="C22" s="281" t="s">
        <v>254</v>
      </c>
      <c r="D22" s="281" t="s">
        <v>255</v>
      </c>
      <c r="E22" s="281" t="s">
        <v>256</v>
      </c>
      <c r="F22" s="281" t="s">
        <v>257</v>
      </c>
    </row>
    <row r="23" spans="1:9">
      <c r="B23" s="87" t="s">
        <v>57</v>
      </c>
      <c r="C23" s="282">
        <f>MEDIAN(C16:C20)</f>
        <v>37.549999999999997</v>
      </c>
      <c r="D23" s="104">
        <f>MEDIAN(D16:D20)</f>
        <v>4.8499999999999996</v>
      </c>
      <c r="E23" s="283">
        <f>MEDIAN(E16:E20)</f>
        <v>7.1629629629629621</v>
      </c>
      <c r="F23" s="91">
        <f>MEDIAN(F16:F20)</f>
        <v>0.13960703205791108</v>
      </c>
    </row>
    <row r="24" spans="1:9">
      <c r="B24" s="87" t="s">
        <v>25</v>
      </c>
      <c r="C24" s="90">
        <f>AVERAGE(C16:C20)</f>
        <v>34.105999999999995</v>
      </c>
      <c r="D24" s="88">
        <f>AVERAGE(D16:D20)</f>
        <v>5.2120000000000006</v>
      </c>
      <c r="E24" s="90">
        <f>AVERAGE(E16:E20)</f>
        <v>6.897401895056424</v>
      </c>
      <c r="F24" s="284">
        <f>AVERAGE(F16:F20)</f>
        <v>0.16339154546248977</v>
      </c>
    </row>
    <row r="26" spans="1:9" ht="21">
      <c r="E26" s="61" t="s">
        <v>20</v>
      </c>
      <c r="F26" s="93">
        <v>0.1396</v>
      </c>
    </row>
    <row r="28" spans="1:9">
      <c r="A28" s="132" t="s">
        <v>6</v>
      </c>
    </row>
    <row r="29" spans="1:9">
      <c r="A29" s="132" t="s">
        <v>252</v>
      </c>
    </row>
    <row r="30" spans="1:9">
      <c r="A30" s="132"/>
    </row>
    <row r="31" spans="1:9" ht="23.25">
      <c r="A31" s="285" t="s">
        <v>258</v>
      </c>
      <c r="B31" s="286"/>
    </row>
    <row r="32" spans="1:9" ht="17.25" customHeight="1">
      <c r="A32" s="285"/>
      <c r="B32" s="286"/>
    </row>
    <row r="33" spans="1:3">
      <c r="A33" s="287" t="s">
        <v>259</v>
      </c>
      <c r="B33" s="286"/>
    </row>
    <row r="34" spans="1:3">
      <c r="A34" s="287" t="s">
        <v>260</v>
      </c>
      <c r="B34" s="286"/>
    </row>
    <row r="35" spans="1:3">
      <c r="A35" s="287" t="s">
        <v>261</v>
      </c>
      <c r="B35" s="286"/>
    </row>
    <row r="36" spans="1:3">
      <c r="A36" s="288" t="s">
        <v>6</v>
      </c>
    </row>
    <row r="37" spans="1:3">
      <c r="A37" s="132"/>
    </row>
    <row r="38" spans="1:3" ht="23.25">
      <c r="A38" s="285" t="s">
        <v>262</v>
      </c>
      <c r="B38" s="286"/>
      <c r="C38" s="286"/>
    </row>
    <row r="39" spans="1:3" ht="12" customHeight="1">
      <c r="A39" s="285"/>
      <c r="B39" s="286"/>
      <c r="C39" s="286"/>
    </row>
    <row r="40" spans="1:3">
      <c r="A40" s="287" t="s">
        <v>263</v>
      </c>
      <c r="B40" s="286"/>
      <c r="C40" s="286"/>
    </row>
    <row r="41" spans="1:3">
      <c r="A41" s="287" t="s">
        <v>264</v>
      </c>
      <c r="B41" s="286"/>
      <c r="C41" s="286"/>
    </row>
  </sheetData>
  <pageMargins left="0.25" right="0.25" top="0.75" bottom="0.75" header="0.3" footer="0.3"/>
  <pageSetup scale="65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F28"/>
  <sheetViews>
    <sheetView zoomScaleNormal="100" workbookViewId="0">
      <selection activeCell="D9" sqref="D9"/>
    </sheetView>
  </sheetViews>
  <sheetFormatPr defaultRowHeight="15"/>
  <cols>
    <col min="1" max="1" width="24.85546875" customWidth="1"/>
    <col min="2" max="2" width="13.28515625" bestFit="1" customWidth="1"/>
    <col min="3" max="3" width="28.5703125" customWidth="1"/>
    <col min="4" max="4" width="12" bestFit="1" customWidth="1"/>
    <col min="5" max="5" width="20.85546875" bestFit="1" customWidth="1"/>
    <col min="6" max="6" width="13" bestFit="1" customWidth="1"/>
  </cols>
  <sheetData>
    <row r="1" spans="1:6" ht="21">
      <c r="C1" s="1" t="s">
        <v>0</v>
      </c>
    </row>
    <row r="2" spans="1:6" ht="15.75">
      <c r="C2" s="2" t="s">
        <v>1</v>
      </c>
    </row>
    <row r="4" spans="1:6">
      <c r="C4" s="3" t="s">
        <v>2</v>
      </c>
    </row>
    <row r="5" spans="1:6">
      <c r="C5" s="3" t="s">
        <v>3</v>
      </c>
    </row>
    <row r="8" spans="1:6">
      <c r="D8" s="4"/>
    </row>
    <row r="10" spans="1:6" ht="15.75" thickBot="1">
      <c r="B10" s="5"/>
      <c r="C10" s="5"/>
      <c r="D10" s="5"/>
    </row>
    <row r="11" spans="1:6" ht="21">
      <c r="C11" s="6" t="s">
        <v>265</v>
      </c>
    </row>
    <row r="12" spans="1:6" ht="15.75" thickBot="1">
      <c r="B12" s="5"/>
      <c r="C12" s="7" t="s">
        <v>5</v>
      </c>
      <c r="D12" s="5"/>
    </row>
    <row r="13" spans="1:6" ht="15.75" thickBot="1">
      <c r="A13" s="5"/>
      <c r="B13" s="5"/>
      <c r="C13" s="7" t="s">
        <v>6</v>
      </c>
      <c r="D13" s="5"/>
      <c r="E13" s="5"/>
      <c r="F13" s="5"/>
    </row>
    <row r="14" spans="1:6">
      <c r="A14" s="8" t="s">
        <v>7</v>
      </c>
      <c r="B14" s="8" t="s">
        <v>8</v>
      </c>
      <c r="C14" s="8" t="s">
        <v>9</v>
      </c>
      <c r="D14" s="8" t="s">
        <v>10</v>
      </c>
      <c r="E14" s="8" t="s">
        <v>11</v>
      </c>
      <c r="F14" s="8" t="s">
        <v>12</v>
      </c>
    </row>
    <row r="15" spans="1:6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</row>
    <row r="16" spans="1:6">
      <c r="A16" s="9" t="s">
        <v>6</v>
      </c>
      <c r="B16" s="9" t="s">
        <v>6</v>
      </c>
      <c r="C16" s="9" t="s">
        <v>6</v>
      </c>
      <c r="D16" s="9" t="s">
        <v>6</v>
      </c>
      <c r="E16" s="9" t="s">
        <v>6</v>
      </c>
      <c r="F16" s="9" t="s">
        <v>6</v>
      </c>
    </row>
    <row r="17" spans="1:6">
      <c r="A17" s="8"/>
      <c r="B17" s="8"/>
      <c r="C17" s="8"/>
      <c r="D17" s="8"/>
      <c r="E17" s="8"/>
      <c r="F17" s="8"/>
    </row>
    <row r="18" spans="1:6" ht="15.75">
      <c r="A18" s="2" t="s">
        <v>17</v>
      </c>
      <c r="B18" s="16">
        <v>0.53</v>
      </c>
      <c r="C18" s="16">
        <v>0.1023</v>
      </c>
      <c r="D18" s="121" t="s">
        <v>134</v>
      </c>
      <c r="E18" s="155">
        <f>+C18</f>
        <v>0.1023</v>
      </c>
      <c r="F18" s="54">
        <f>+E18*B18</f>
        <v>5.4219000000000003E-2</v>
      </c>
    </row>
    <row r="19" spans="1:6" ht="15.75">
      <c r="A19" s="2" t="s">
        <v>6</v>
      </c>
      <c r="B19" s="14" t="s">
        <v>6</v>
      </c>
      <c r="C19" s="14" t="s">
        <v>6</v>
      </c>
      <c r="D19" s="2" t="s">
        <v>6</v>
      </c>
      <c r="E19" s="15" t="s">
        <v>6</v>
      </c>
      <c r="F19" s="12" t="s">
        <v>6</v>
      </c>
    </row>
    <row r="20" spans="1:6" ht="15.75">
      <c r="A20" s="2" t="s">
        <v>18</v>
      </c>
      <c r="B20" s="16">
        <v>0.47</v>
      </c>
      <c r="C20" s="16">
        <v>2.7900000000000001E-2</v>
      </c>
      <c r="D20" s="16">
        <v>0.26</v>
      </c>
      <c r="E20" s="155">
        <f>+C20*(1-D20)</f>
        <v>2.0646000000000001E-2</v>
      </c>
      <c r="F20" s="54">
        <f>+B20*E20</f>
        <v>9.7036199999999996E-3</v>
      </c>
    </row>
    <row r="21" spans="1:6" ht="16.5" thickBot="1">
      <c r="A21" s="17" t="s">
        <v>6</v>
      </c>
      <c r="B21" s="17" t="s">
        <v>6</v>
      </c>
      <c r="C21" s="17" t="s">
        <v>6</v>
      </c>
      <c r="D21" s="17" t="s">
        <v>6</v>
      </c>
      <c r="E21" s="18" t="s">
        <v>6</v>
      </c>
      <c r="F21" s="19" t="s">
        <v>6</v>
      </c>
    </row>
    <row r="22" spans="1:6" ht="15.75">
      <c r="A22" s="2" t="s">
        <v>19</v>
      </c>
      <c r="B22" s="156">
        <f>+B18+B20</f>
        <v>1</v>
      </c>
      <c r="C22" s="2" t="s">
        <v>6</v>
      </c>
      <c r="D22" s="2" t="s">
        <v>6</v>
      </c>
      <c r="E22" s="15" t="s">
        <v>6</v>
      </c>
      <c r="F22" s="54">
        <f>+F18+F20</f>
        <v>6.3922619999999999E-2</v>
      </c>
    </row>
    <row r="23" spans="1:6" ht="15.75">
      <c r="A23" s="24"/>
      <c r="B23" s="24"/>
      <c r="C23" s="24"/>
      <c r="D23" s="24"/>
      <c r="E23" s="24"/>
      <c r="F23" s="24"/>
    </row>
    <row r="24" spans="1:6" ht="15.75">
      <c r="E24" s="15" t="s">
        <v>20</v>
      </c>
      <c r="F24" s="54">
        <v>6.3899999999999998E-2</v>
      </c>
    </row>
    <row r="27" spans="1:6">
      <c r="B27" s="289"/>
      <c r="C27" s="289"/>
      <c r="D27" s="289"/>
    </row>
    <row r="28" spans="1:6">
      <c r="B28" s="289"/>
      <c r="C28" s="289"/>
      <c r="D28" s="289"/>
    </row>
  </sheetData>
  <pageMargins left="0.25" right="0.25" top="0.75" bottom="0.75" header="0.3" footer="0.3"/>
  <pageSetup scale="9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M60"/>
  <sheetViews>
    <sheetView zoomScale="80" zoomScaleNormal="80" zoomScalePageLayoutView="70" workbookViewId="0">
      <pane xSplit="1" topLeftCell="B1" activePane="topRight" state="frozen"/>
      <selection activeCell="D9" sqref="D9"/>
      <selection pane="topRight" activeCell="F15" sqref="F15"/>
    </sheetView>
  </sheetViews>
  <sheetFormatPr defaultRowHeight="15"/>
  <cols>
    <col min="1" max="1" width="55.7109375" customWidth="1"/>
    <col min="2" max="2" width="10.85546875" bestFit="1" customWidth="1"/>
    <col min="3" max="4" width="20.85546875" customWidth="1"/>
    <col min="5" max="5" width="25.140625" customWidth="1"/>
    <col min="6" max="6" width="25.5703125" customWidth="1"/>
    <col min="7" max="7" width="24.28515625" customWidth="1"/>
    <col min="8" max="8" width="26.5703125" customWidth="1"/>
    <col min="9" max="9" width="27.28515625" customWidth="1"/>
    <col min="10" max="10" width="26.28515625" customWidth="1"/>
    <col min="11" max="11" width="26.42578125" customWidth="1"/>
    <col min="12" max="12" width="23.42578125" bestFit="1" customWidth="1"/>
    <col min="13" max="13" width="30.140625" bestFit="1" customWidth="1"/>
    <col min="14" max="14" width="9.14062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E4" s="4"/>
      <c r="K4" t="s">
        <v>6</v>
      </c>
    </row>
    <row r="6" spans="1:12">
      <c r="A6" s="25" t="s">
        <v>21</v>
      </c>
      <c r="B6" s="26"/>
      <c r="C6" s="26"/>
      <c r="D6" s="26"/>
      <c r="E6" s="26"/>
      <c r="F6" s="26"/>
      <c r="G6" s="27"/>
      <c r="H6" s="28"/>
      <c r="I6" s="28"/>
      <c r="J6" s="29"/>
      <c r="K6" s="29"/>
      <c r="L6" s="29"/>
    </row>
    <row r="7" spans="1:1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spans="1:12" ht="15.7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2" ht="20.25">
      <c r="A9" s="31" t="s">
        <v>266</v>
      </c>
      <c r="B9" s="28"/>
      <c r="C9" s="28"/>
      <c r="D9" s="28"/>
      <c r="E9" s="28"/>
      <c r="F9" s="28"/>
      <c r="G9" s="28"/>
      <c r="H9" s="28"/>
      <c r="I9" s="28"/>
      <c r="J9" s="28"/>
    </row>
    <row r="10" spans="1:12" ht="15.75" thickBot="1">
      <c r="A10" s="32" t="s">
        <v>6</v>
      </c>
      <c r="B10" s="33" t="s">
        <v>6</v>
      </c>
      <c r="C10" s="33" t="s">
        <v>6</v>
      </c>
      <c r="D10" s="33"/>
      <c r="E10" s="33"/>
      <c r="F10" s="33"/>
      <c r="G10" s="33" t="s">
        <v>6</v>
      </c>
      <c r="H10" s="34"/>
      <c r="I10" s="34"/>
      <c r="J10" s="34"/>
    </row>
    <row r="11" spans="1:12" ht="15.75">
      <c r="A11" s="117"/>
      <c r="B11" s="290"/>
      <c r="C11" s="117"/>
      <c r="D11" s="290"/>
      <c r="E11" s="290"/>
      <c r="F11" s="290"/>
      <c r="G11" s="290"/>
      <c r="H11" s="36" t="s">
        <v>23</v>
      </c>
      <c r="I11" s="213" t="s">
        <v>6</v>
      </c>
      <c r="J11" s="291"/>
    </row>
    <row r="12" spans="1:12" ht="15.75">
      <c r="A12" s="35"/>
      <c r="B12" s="211"/>
      <c r="C12" s="35"/>
      <c r="D12" s="212" t="s">
        <v>30</v>
      </c>
      <c r="E12" s="212" t="s">
        <v>30</v>
      </c>
      <c r="F12" s="212" t="s">
        <v>30</v>
      </c>
      <c r="G12" s="211"/>
      <c r="H12" s="36" t="s">
        <v>26</v>
      </c>
      <c r="I12" s="211" t="s">
        <v>23</v>
      </c>
      <c r="J12" s="213" t="s">
        <v>23</v>
      </c>
    </row>
    <row r="13" spans="1:12" ht="15.75">
      <c r="A13" s="35" t="s">
        <v>6</v>
      </c>
      <c r="B13" s="211" t="s">
        <v>27</v>
      </c>
      <c r="C13" s="35" t="s">
        <v>28</v>
      </c>
      <c r="D13" s="212" t="s">
        <v>29</v>
      </c>
      <c r="E13" s="212" t="s">
        <v>29</v>
      </c>
      <c r="F13" s="212" t="s">
        <v>25</v>
      </c>
      <c r="G13" s="213" t="s">
        <v>23</v>
      </c>
      <c r="H13" s="35" t="s">
        <v>31</v>
      </c>
      <c r="I13" s="214" t="s">
        <v>32</v>
      </c>
      <c r="J13" s="215" t="s">
        <v>47</v>
      </c>
    </row>
    <row r="14" spans="1:12" ht="16.5" thickBot="1">
      <c r="A14" s="38" t="s">
        <v>34</v>
      </c>
      <c r="B14" s="217" t="s">
        <v>35</v>
      </c>
      <c r="C14" s="38" t="s">
        <v>36</v>
      </c>
      <c r="D14" s="217" t="s">
        <v>37</v>
      </c>
      <c r="E14" s="217" t="s">
        <v>38</v>
      </c>
      <c r="F14" s="217" t="s">
        <v>29</v>
      </c>
      <c r="G14" s="217" t="s">
        <v>29</v>
      </c>
      <c r="H14" s="41" t="s">
        <v>39</v>
      </c>
      <c r="I14" s="217" t="s">
        <v>40</v>
      </c>
      <c r="J14" s="217" t="s">
        <v>40</v>
      </c>
    </row>
    <row r="15" spans="1:12" ht="15.75">
      <c r="A15" s="269" t="s">
        <v>41</v>
      </c>
      <c r="B15" s="270" t="s">
        <v>41</v>
      </c>
      <c r="C15" s="43" t="s">
        <v>41</v>
      </c>
      <c r="D15" s="270" t="s">
        <v>95</v>
      </c>
      <c r="E15" s="270" t="s">
        <v>95</v>
      </c>
      <c r="F15" s="270"/>
      <c r="G15" s="270" t="s">
        <v>41</v>
      </c>
      <c r="H15" s="43" t="s">
        <v>42</v>
      </c>
      <c r="I15" s="270" t="s">
        <v>42</v>
      </c>
      <c r="J15" s="270" t="s">
        <v>42</v>
      </c>
    </row>
    <row r="16" spans="1:12" ht="15.75">
      <c r="A16" s="210"/>
      <c r="B16" s="211"/>
      <c r="C16" s="404"/>
      <c r="D16" s="211"/>
      <c r="E16" s="211"/>
      <c r="F16" s="211"/>
      <c r="G16" s="211"/>
      <c r="H16" s="35"/>
      <c r="I16" s="221"/>
      <c r="J16" s="221"/>
    </row>
    <row r="17" spans="1:13" ht="15.75">
      <c r="A17" s="259" t="s">
        <v>267</v>
      </c>
      <c r="B17" s="223" t="s">
        <v>268</v>
      </c>
      <c r="C17" s="262" t="s">
        <v>269</v>
      </c>
      <c r="D17" s="227">
        <v>95.49</v>
      </c>
      <c r="E17" s="227">
        <v>93.02</v>
      </c>
      <c r="F17" s="227">
        <f>AVERAGE(D17,E17)</f>
        <v>94.254999999999995</v>
      </c>
      <c r="G17" s="227">
        <v>95.43</v>
      </c>
      <c r="H17" s="229">
        <v>128152961</v>
      </c>
      <c r="I17" s="228">
        <v>0</v>
      </c>
      <c r="J17" s="228">
        <f>5124862000+171000</f>
        <v>5125033000</v>
      </c>
      <c r="L17" s="53" t="s">
        <v>6</v>
      </c>
    </row>
    <row r="18" spans="1:13" ht="15.75">
      <c r="A18" s="259" t="s">
        <v>270</v>
      </c>
      <c r="B18" s="223" t="s">
        <v>271</v>
      </c>
      <c r="C18" s="262" t="s">
        <v>272</v>
      </c>
      <c r="D18" s="227">
        <v>61.63</v>
      </c>
      <c r="E18" s="227">
        <v>60.26</v>
      </c>
      <c r="F18" s="227">
        <f>AVERAGE(D18,E18)</f>
        <v>60.945</v>
      </c>
      <c r="G18" s="227">
        <v>61.45</v>
      </c>
      <c r="H18" s="229">
        <f>62827179-32492</f>
        <v>62794687</v>
      </c>
      <c r="I18" s="228">
        <v>0</v>
      </c>
      <c r="J18" s="228">
        <f>3528100000+8436000</f>
        <v>3536536000</v>
      </c>
    </row>
    <row r="19" spans="1:13" ht="15.75">
      <c r="A19" s="264" t="s">
        <v>273</v>
      </c>
      <c r="B19" s="223" t="s">
        <v>177</v>
      </c>
      <c r="C19" s="262" t="s">
        <v>272</v>
      </c>
      <c r="D19" s="225">
        <v>21.69</v>
      </c>
      <c r="E19" s="225">
        <v>21.25</v>
      </c>
      <c r="F19" s="227">
        <f t="shared" ref="F19:F27" si="0">AVERAGE(D19,E19)</f>
        <v>21.47</v>
      </c>
      <c r="G19" s="225">
        <v>21.64</v>
      </c>
      <c r="H19" s="229">
        <v>551355861</v>
      </c>
      <c r="I19" s="228">
        <f>(790+950+623)*1000000</f>
        <v>2363000000</v>
      </c>
      <c r="J19" s="228">
        <f>11521000000+211000000+1669000000</f>
        <v>13401000000</v>
      </c>
    </row>
    <row r="20" spans="1:13" ht="15.75">
      <c r="A20" s="264" t="s">
        <v>274</v>
      </c>
      <c r="B20" s="223" t="s">
        <v>179</v>
      </c>
      <c r="C20" s="262" t="s">
        <v>272</v>
      </c>
      <c r="D20" s="225">
        <v>61.09</v>
      </c>
      <c r="E20" s="227">
        <v>59.66</v>
      </c>
      <c r="F20" s="227">
        <f t="shared" si="0"/>
        <v>60.375</v>
      </c>
      <c r="G20" s="227">
        <v>61.01</v>
      </c>
      <c r="H20" s="229">
        <v>288900000</v>
      </c>
      <c r="I20" s="228">
        <v>37000000</v>
      </c>
      <c r="J20" s="228">
        <f>13634000000+1506000000+56000000</f>
        <v>15196000000</v>
      </c>
    </row>
    <row r="21" spans="1:13" ht="15.75">
      <c r="A21" s="264" t="s">
        <v>275</v>
      </c>
      <c r="B21" s="223" t="s">
        <v>189</v>
      </c>
      <c r="C21" s="262" t="s">
        <v>272</v>
      </c>
      <c r="D21" s="234">
        <v>70.180000000000007</v>
      </c>
      <c r="E21" s="227">
        <v>69.2</v>
      </c>
      <c r="F21" s="227">
        <f t="shared" si="0"/>
        <v>69.69</v>
      </c>
      <c r="G21" s="227">
        <v>70.03</v>
      </c>
      <c r="H21" s="229">
        <v>36163000</v>
      </c>
      <c r="I21" s="228">
        <v>0</v>
      </c>
      <c r="J21" s="228">
        <f>1200000+19300000+70000000+457379000</f>
        <v>547879000</v>
      </c>
    </row>
    <row r="22" spans="1:13" ht="15.75">
      <c r="A22" s="259" t="s">
        <v>276</v>
      </c>
      <c r="B22" s="223" t="s">
        <v>277</v>
      </c>
      <c r="C22" s="262" t="s">
        <v>269</v>
      </c>
      <c r="D22" s="227">
        <v>35.72</v>
      </c>
      <c r="E22" s="227">
        <v>34.74</v>
      </c>
      <c r="F22" s="227">
        <f t="shared" si="0"/>
        <v>35.230000000000004</v>
      </c>
      <c r="G22" s="227">
        <v>35.549999999999997</v>
      </c>
      <c r="H22" s="292">
        <f>96139436-7623</f>
        <v>96131813</v>
      </c>
      <c r="I22" s="228">
        <v>0</v>
      </c>
      <c r="J22" s="293">
        <f>2264972000+26864000</f>
        <v>2291836000</v>
      </c>
      <c r="L22" s="294" t="s">
        <v>6</v>
      </c>
    </row>
    <row r="23" spans="1:13" ht="15.75">
      <c r="A23" s="259" t="s">
        <v>278</v>
      </c>
      <c r="B23" s="223" t="s">
        <v>279</v>
      </c>
      <c r="C23" s="295" t="s">
        <v>269</v>
      </c>
      <c r="D23" s="227">
        <v>22.96</v>
      </c>
      <c r="E23" s="227">
        <v>22.48</v>
      </c>
      <c r="F23" s="227">
        <f t="shared" si="0"/>
        <v>22.72</v>
      </c>
      <c r="G23" s="227">
        <v>22.94</v>
      </c>
      <c r="H23" s="229">
        <v>391760051</v>
      </c>
      <c r="I23" s="228">
        <v>880000000</v>
      </c>
      <c r="J23" s="228">
        <f>9219800000+23300000</f>
        <v>9243100000</v>
      </c>
      <c r="L23" s="53" t="s">
        <v>6</v>
      </c>
    </row>
    <row r="24" spans="1:13" ht="15.75">
      <c r="A24" s="259" t="s">
        <v>280</v>
      </c>
      <c r="B24" s="223" t="s">
        <v>281</v>
      </c>
      <c r="C24" s="224" t="s">
        <v>269</v>
      </c>
      <c r="D24" s="227">
        <v>46.14</v>
      </c>
      <c r="E24" s="227">
        <v>45.05</v>
      </c>
      <c r="F24" s="227">
        <f t="shared" si="0"/>
        <v>45.594999999999999</v>
      </c>
      <c r="G24" s="227">
        <v>45.99</v>
      </c>
      <c r="H24" s="229">
        <v>30589000</v>
      </c>
      <c r="I24" s="228">
        <v>0</v>
      </c>
      <c r="J24" s="296">
        <f>857265000+59955000</f>
        <v>917220000</v>
      </c>
      <c r="L24" s="53" t="s">
        <v>6</v>
      </c>
      <c r="M24" t="s">
        <v>6</v>
      </c>
    </row>
    <row r="25" spans="1:13" ht="15.75">
      <c r="A25" s="259" t="s">
        <v>282</v>
      </c>
      <c r="B25" s="223" t="s">
        <v>283</v>
      </c>
      <c r="C25" s="224" t="s">
        <v>269</v>
      </c>
      <c r="D25" s="227">
        <v>77.11</v>
      </c>
      <c r="E25" s="227">
        <v>75.48</v>
      </c>
      <c r="F25" s="227">
        <f t="shared" si="0"/>
        <v>76.295000000000002</v>
      </c>
      <c r="G25" s="227">
        <v>76.77</v>
      </c>
      <c r="H25" s="229">
        <v>53166733</v>
      </c>
      <c r="I25" s="228">
        <v>0</v>
      </c>
      <c r="J25" s="228">
        <f>1582428000+78952000</f>
        <v>1661380000</v>
      </c>
      <c r="L25" t="s">
        <v>6</v>
      </c>
      <c r="M25" s="53" t="s">
        <v>6</v>
      </c>
    </row>
    <row r="26" spans="1:13" ht="15.75">
      <c r="A26" s="22" t="s">
        <v>284</v>
      </c>
      <c r="B26" s="297" t="s">
        <v>285</v>
      </c>
      <c r="C26" s="295" t="s">
        <v>269</v>
      </c>
      <c r="D26" s="227">
        <v>21.62</v>
      </c>
      <c r="E26" s="227">
        <v>21.27</v>
      </c>
      <c r="F26" s="227">
        <f>AVERAGE(D26,E26)</f>
        <v>21.445</v>
      </c>
      <c r="G26" s="227">
        <v>21.55</v>
      </c>
      <c r="H26" s="229">
        <v>100591940</v>
      </c>
      <c r="I26" s="228">
        <v>0</v>
      </c>
      <c r="J26" s="228">
        <f>2776400000+142801000</f>
        <v>2919201000</v>
      </c>
      <c r="L26" s="53" t="s">
        <v>6</v>
      </c>
    </row>
    <row r="27" spans="1:13" ht="15.75">
      <c r="A27" s="259" t="s">
        <v>286</v>
      </c>
      <c r="B27" s="223" t="s">
        <v>287</v>
      </c>
      <c r="C27" s="224" t="s">
        <v>269</v>
      </c>
      <c r="D27" s="227">
        <v>60.96</v>
      </c>
      <c r="E27" s="227">
        <v>59.33</v>
      </c>
      <c r="F27" s="227">
        <f t="shared" si="0"/>
        <v>60.144999999999996</v>
      </c>
      <c r="G27" s="227">
        <v>60.75</v>
      </c>
      <c r="H27" s="229">
        <v>57192925</v>
      </c>
      <c r="I27" s="228">
        <v>0</v>
      </c>
      <c r="J27" s="228">
        <f>0+2438206000</f>
        <v>2438206000</v>
      </c>
      <c r="L27" s="53" t="s">
        <v>6</v>
      </c>
    </row>
    <row r="28" spans="1:13" ht="15.75">
      <c r="A28" s="259" t="s">
        <v>288</v>
      </c>
      <c r="B28" s="223" t="s">
        <v>289</v>
      </c>
      <c r="C28" s="224" t="s">
        <v>269</v>
      </c>
      <c r="D28" s="227">
        <v>64.31</v>
      </c>
      <c r="E28" s="227">
        <v>63.19</v>
      </c>
      <c r="F28" s="227">
        <f>AVERAGE(D28,E28)</f>
        <v>63.75</v>
      </c>
      <c r="G28" s="227">
        <v>64.040000000000006</v>
      </c>
      <c r="H28" s="229">
        <v>51700000</v>
      </c>
      <c r="I28" s="228">
        <v>242000000</v>
      </c>
      <c r="J28" s="228">
        <f>2517600000+11080000</f>
        <v>2528680000</v>
      </c>
      <c r="L28" s="53" t="s">
        <v>6</v>
      </c>
    </row>
    <row r="29" spans="1:13" ht="16.5" thickBot="1">
      <c r="A29" s="298" t="s">
        <v>198</v>
      </c>
      <c r="B29" s="236" t="s">
        <v>199</v>
      </c>
      <c r="C29" s="125" t="s">
        <v>272</v>
      </c>
      <c r="D29" s="238">
        <v>92.08</v>
      </c>
      <c r="E29" s="238">
        <v>90.19</v>
      </c>
      <c r="F29" s="240">
        <f t="shared" ref="F29" si="1">AVERAGE(D29,E29)</f>
        <v>91.134999999999991</v>
      </c>
      <c r="G29" s="238">
        <v>92.03</v>
      </c>
      <c r="H29" s="129">
        <v>315434531</v>
      </c>
      <c r="I29" s="241">
        <f>30400000</f>
        <v>30400000</v>
      </c>
      <c r="J29" s="241">
        <f>11728100000+785800000</f>
        <v>12513900000</v>
      </c>
    </row>
    <row r="30" spans="1:13" ht="15.75">
      <c r="A30" s="49"/>
      <c r="B30" s="49"/>
      <c r="C30" s="49"/>
      <c r="D30" s="49"/>
      <c r="E30" s="49"/>
      <c r="F30" s="49"/>
      <c r="G30" s="49"/>
      <c r="H30" s="49"/>
      <c r="I30" s="49"/>
      <c r="J30" s="49"/>
    </row>
    <row r="31" spans="1:13" ht="15.75">
      <c r="A31" s="49"/>
      <c r="B31" s="49"/>
      <c r="C31" s="49"/>
      <c r="D31" s="49"/>
      <c r="E31" s="49"/>
      <c r="F31" s="49"/>
      <c r="G31" s="49"/>
      <c r="H31" s="49"/>
      <c r="I31" s="49"/>
      <c r="J31" s="49"/>
      <c r="L31" s="49" t="s">
        <v>6</v>
      </c>
      <c r="M31" t="s">
        <v>6</v>
      </c>
    </row>
    <row r="32" spans="1:13" ht="16.5" thickBot="1">
      <c r="A32" s="48"/>
      <c r="B32" s="48"/>
      <c r="C32" s="48"/>
      <c r="D32" s="48"/>
      <c r="E32" s="48"/>
      <c r="F32" s="48"/>
      <c r="G32" s="48"/>
      <c r="H32" s="48"/>
      <c r="I32" s="48"/>
      <c r="J32" s="49"/>
      <c r="L32" s="49" t="s">
        <v>6</v>
      </c>
    </row>
    <row r="33" spans="1:12" ht="15.75">
      <c r="A33" s="49"/>
      <c r="B33" s="49"/>
      <c r="C33" s="49"/>
      <c r="D33" s="49"/>
      <c r="E33" s="36" t="s">
        <v>6</v>
      </c>
      <c r="G33" s="49"/>
      <c r="H33" s="49"/>
      <c r="I33" s="49"/>
      <c r="J33" s="49"/>
      <c r="K33" s="49" t="s">
        <v>6</v>
      </c>
      <c r="L33" s="49"/>
    </row>
    <row r="34" spans="1:12" ht="15.75">
      <c r="A34" s="35"/>
      <c r="B34" s="35"/>
      <c r="C34" s="35"/>
      <c r="D34" s="36" t="s">
        <v>23</v>
      </c>
      <c r="E34" s="35" t="s">
        <v>23</v>
      </c>
      <c r="F34" s="36" t="s">
        <v>23</v>
      </c>
      <c r="G34" s="36" t="s">
        <v>23</v>
      </c>
      <c r="H34" s="36" t="s">
        <v>23</v>
      </c>
      <c r="I34" s="36" t="s">
        <v>23</v>
      </c>
      <c r="L34" s="49"/>
    </row>
    <row r="35" spans="1:12" ht="15.75">
      <c r="A35" s="35" t="s">
        <v>6</v>
      </c>
      <c r="B35" s="35" t="s">
        <v>27</v>
      </c>
      <c r="C35" s="35" t="s">
        <v>28</v>
      </c>
      <c r="D35" s="35" t="s">
        <v>26</v>
      </c>
      <c r="E35" s="299" t="s">
        <v>32</v>
      </c>
      <c r="F35" s="37" t="s">
        <v>201</v>
      </c>
      <c r="G35" s="37" t="s">
        <v>48</v>
      </c>
      <c r="H35" s="37" t="s">
        <v>49</v>
      </c>
      <c r="I35" s="37" t="s">
        <v>202</v>
      </c>
      <c r="J35" t="s">
        <v>6</v>
      </c>
      <c r="L35" s="49"/>
    </row>
    <row r="36" spans="1:12" ht="16.5" thickBot="1">
      <c r="A36" s="38" t="s">
        <v>34</v>
      </c>
      <c r="B36" s="38" t="s">
        <v>35</v>
      </c>
      <c r="C36" s="38" t="s">
        <v>36</v>
      </c>
      <c r="D36" s="38" t="s">
        <v>51</v>
      </c>
      <c r="E36" s="38" t="s">
        <v>51</v>
      </c>
      <c r="F36" s="38" t="s">
        <v>51</v>
      </c>
      <c r="G36" s="38" t="s">
        <v>290</v>
      </c>
      <c r="H36" s="38" t="s">
        <v>6</v>
      </c>
      <c r="I36" s="38" t="s">
        <v>6</v>
      </c>
      <c r="L36" s="49"/>
    </row>
    <row r="37" spans="1:12" ht="15.75">
      <c r="A37" s="42" t="s">
        <v>41</v>
      </c>
      <c r="B37" s="42" t="s">
        <v>41</v>
      </c>
      <c r="C37" s="42" t="s">
        <v>41</v>
      </c>
      <c r="D37" s="42" t="s">
        <v>53</v>
      </c>
      <c r="E37" s="42" t="s">
        <v>53</v>
      </c>
      <c r="F37" s="42" t="s">
        <v>42</v>
      </c>
      <c r="G37" s="42" t="s">
        <v>53</v>
      </c>
      <c r="H37" s="42" t="s">
        <v>53</v>
      </c>
      <c r="I37" s="42" t="s">
        <v>53</v>
      </c>
    </row>
    <row r="38" spans="1:12" ht="15.75">
      <c r="A38" s="35"/>
      <c r="B38" s="35"/>
      <c r="C38" s="35"/>
      <c r="D38" s="49"/>
      <c r="E38" s="49"/>
      <c r="F38" s="44"/>
      <c r="G38" s="44"/>
      <c r="H38" s="44"/>
      <c r="I38" s="44"/>
    </row>
    <row r="39" spans="1:12" ht="15.75">
      <c r="A39" s="24" t="str">
        <f t="shared" ref="A39:C51" si="2">+A17</f>
        <v>Atmos Energy Corp</v>
      </c>
      <c r="B39" s="2" t="str">
        <f t="shared" si="2"/>
        <v>ATO</v>
      </c>
      <c r="C39" s="121" t="str">
        <f t="shared" si="2"/>
        <v>Nat Gas Utility</v>
      </c>
      <c r="D39" s="51">
        <f t="shared" ref="D39:D44" si="3">(+H17)*G17</f>
        <v>12229637068.230001</v>
      </c>
      <c r="E39" s="51">
        <f t="shared" ref="E39:E50" si="4">(1/1)*I17</f>
        <v>0</v>
      </c>
      <c r="F39" s="47">
        <f>J17*(6294671/5160000)</f>
        <v>6252014844.7951546</v>
      </c>
      <c r="G39" s="56">
        <f>+D39+E39+F39</f>
        <v>18481651913.025154</v>
      </c>
      <c r="H39" s="12">
        <f t="shared" ref="H39:H50" si="5">(+D39)/G39</f>
        <v>0.66171774718963439</v>
      </c>
      <c r="I39" s="12">
        <f>(E39+F39)/G39</f>
        <v>0.33828225281036572</v>
      </c>
      <c r="J39" t="s">
        <v>6</v>
      </c>
    </row>
    <row r="40" spans="1:12" ht="15.75">
      <c r="A40" s="24" t="str">
        <f t="shared" si="2"/>
        <v>Black Hills Corporation</v>
      </c>
      <c r="B40" s="2" t="str">
        <f t="shared" si="2"/>
        <v>BKH</v>
      </c>
      <c r="C40" s="121" t="str">
        <f t="shared" si="2"/>
        <v>Electric &amp; Gas</v>
      </c>
      <c r="D40" s="51">
        <f t="shared" si="3"/>
        <v>3858733516.1500001</v>
      </c>
      <c r="E40" s="51">
        <f t="shared" si="4"/>
        <v>0</v>
      </c>
      <c r="F40" s="47">
        <f>J18*(4208167/3536536)</f>
        <v>4208167000</v>
      </c>
      <c r="G40" s="56">
        <f t="shared" ref="G40:G50" si="6">+D40+E40+F40</f>
        <v>8066900516.1499996</v>
      </c>
      <c r="H40" s="54">
        <f t="shared" si="5"/>
        <v>0.47834152763193055</v>
      </c>
      <c r="I40" s="54">
        <f t="shared" ref="I40:I50" si="7">(E40+F40)/G40</f>
        <v>0.5216584723680695</v>
      </c>
      <c r="J40" t="s">
        <v>6</v>
      </c>
    </row>
    <row r="41" spans="1:12" ht="15.75">
      <c r="A41" s="201" t="str">
        <f t="shared" si="2"/>
        <v>CenterPoint Energy Inc.</v>
      </c>
      <c r="B41" s="14" t="str">
        <f t="shared" si="2"/>
        <v>CNP</v>
      </c>
      <c r="C41" s="45" t="str">
        <f t="shared" si="2"/>
        <v>Electric &amp; Gas</v>
      </c>
      <c r="D41" s="51">
        <f t="shared" si="3"/>
        <v>11931340832.040001</v>
      </c>
      <c r="E41" s="51">
        <f t="shared" si="4"/>
        <v>2363000000</v>
      </c>
      <c r="F41" s="47">
        <f>J19*(15226/13401)</f>
        <v>15226000000</v>
      </c>
      <c r="G41" s="56">
        <f t="shared" si="6"/>
        <v>29520340832.040001</v>
      </c>
      <c r="H41" s="54">
        <f t="shared" si="5"/>
        <v>0.40417354596022415</v>
      </c>
      <c r="I41" s="54">
        <f t="shared" si="7"/>
        <v>0.59582645403977585</v>
      </c>
    </row>
    <row r="42" spans="1:12" ht="15.75">
      <c r="A42" s="201" t="str">
        <f t="shared" si="2"/>
        <v>CMS Energy Corporation</v>
      </c>
      <c r="B42" s="14" t="str">
        <f t="shared" si="2"/>
        <v>CMS</v>
      </c>
      <c r="C42" s="45" t="str">
        <f t="shared" si="2"/>
        <v>Electric &amp; Gas</v>
      </c>
      <c r="D42" s="51">
        <f t="shared" si="3"/>
        <v>17625789000</v>
      </c>
      <c r="E42" s="51">
        <f t="shared" si="4"/>
        <v>37000000</v>
      </c>
      <c r="F42" s="47">
        <f>J20*(17512/15120)</f>
        <v>17600023280.423283</v>
      </c>
      <c r="G42" s="56">
        <f t="shared" si="6"/>
        <v>35262812280.423279</v>
      </c>
      <c r="H42" s="54">
        <f t="shared" si="5"/>
        <v>0.49984070640291051</v>
      </c>
      <c r="I42" s="54">
        <f t="shared" si="7"/>
        <v>0.50015929359708955</v>
      </c>
    </row>
    <row r="43" spans="1:12" ht="15.75">
      <c r="A43" s="201" t="str">
        <f t="shared" si="2"/>
        <v>MGE Energy Inc.</v>
      </c>
      <c r="B43" s="14" t="str">
        <f t="shared" si="2"/>
        <v>MGEE</v>
      </c>
      <c r="C43" s="45" t="str">
        <f t="shared" si="2"/>
        <v>Electric &amp; Gas</v>
      </c>
      <c r="D43" s="51">
        <f t="shared" si="3"/>
        <v>2532494890</v>
      </c>
      <c r="E43" s="51">
        <f t="shared" si="4"/>
        <v>0</v>
      </c>
      <c r="F43" s="47">
        <f>J21*(639271/528220)</f>
        <v>663063034.73741996</v>
      </c>
      <c r="G43" s="56">
        <f t="shared" si="6"/>
        <v>3195557924.7374201</v>
      </c>
      <c r="H43" s="54">
        <f t="shared" si="5"/>
        <v>0.79250476744466958</v>
      </c>
      <c r="I43" s="54">
        <f t="shared" si="7"/>
        <v>0.20749523255533039</v>
      </c>
    </row>
    <row r="44" spans="1:12" ht="15.75">
      <c r="A44" s="24" t="str">
        <f t="shared" si="2"/>
        <v>New Jersey Resources Corp</v>
      </c>
      <c r="B44" s="2" t="str">
        <f t="shared" si="2"/>
        <v>NJR</v>
      </c>
      <c r="C44" s="121" t="str">
        <f t="shared" si="2"/>
        <v>Nat Gas Utility</v>
      </c>
      <c r="D44" s="51">
        <f t="shared" si="3"/>
        <v>3417485952.1499996</v>
      </c>
      <c r="E44" s="51">
        <f t="shared" si="4"/>
        <v>0</v>
      </c>
      <c r="F44" s="47">
        <f>J22*(2455242/2102845)</f>
        <v>2675904312.6393051</v>
      </c>
      <c r="G44" s="56">
        <f t="shared" si="6"/>
        <v>6093390264.7893047</v>
      </c>
      <c r="H44" s="12">
        <f t="shared" si="5"/>
        <v>0.56085131653194187</v>
      </c>
      <c r="I44" s="12">
        <f t="shared" si="7"/>
        <v>0.43914868346805808</v>
      </c>
      <c r="J44" t="s">
        <v>6</v>
      </c>
    </row>
    <row r="45" spans="1:12" ht="15.75">
      <c r="A45" s="24" t="str">
        <f t="shared" si="2"/>
        <v>NISOURCE Inc</v>
      </c>
      <c r="B45" s="2" t="str">
        <f t="shared" si="2"/>
        <v>NI</v>
      </c>
      <c r="C45" s="2" t="str">
        <f t="shared" si="2"/>
        <v>Nat Gas Utility</v>
      </c>
      <c r="D45" s="145">
        <f>((+H23)*G23)-99900000</f>
        <v>8887075569.9400005</v>
      </c>
      <c r="E45" s="51">
        <f t="shared" si="4"/>
        <v>880000000</v>
      </c>
      <c r="F45" s="47">
        <f>J23*(11034.2/9243.1)</f>
        <v>11034200000.000002</v>
      </c>
      <c r="G45" s="56">
        <f t="shared" si="6"/>
        <v>20801275569.940002</v>
      </c>
      <c r="H45" s="12">
        <f t="shared" si="5"/>
        <v>0.42723704803866669</v>
      </c>
      <c r="I45" s="12">
        <f t="shared" si="7"/>
        <v>0.57276295196133331</v>
      </c>
    </row>
    <row r="46" spans="1:12" ht="15.75">
      <c r="A46" s="24" t="str">
        <f t="shared" si="2"/>
        <v>Northwest Natural Gas Company</v>
      </c>
      <c r="B46" s="2" t="str">
        <f t="shared" si="2"/>
        <v>NWN</v>
      </c>
      <c r="C46" s="2" t="str">
        <f t="shared" si="2"/>
        <v>Nat Gas Utility</v>
      </c>
      <c r="D46" s="51">
        <f t="shared" ref="D46:D51" si="8">(+H24)*G24</f>
        <v>1406788110</v>
      </c>
      <c r="E46" s="51">
        <f t="shared" si="4"/>
        <v>0</v>
      </c>
      <c r="F46" s="47">
        <f>J24*(1097348/917220)</f>
        <v>1097348000</v>
      </c>
      <c r="G46" s="56">
        <f t="shared" si="6"/>
        <v>2504136110</v>
      </c>
      <c r="H46" s="12">
        <f t="shared" si="5"/>
        <v>0.56178580085249441</v>
      </c>
      <c r="I46" s="12">
        <f t="shared" si="7"/>
        <v>0.43821419914750559</v>
      </c>
      <c r="J46" t="s">
        <v>6</v>
      </c>
    </row>
    <row r="47" spans="1:12" ht="15.75">
      <c r="A47" s="24" t="str">
        <f t="shared" si="2"/>
        <v>One Gas Inc</v>
      </c>
      <c r="B47" s="2" t="str">
        <f t="shared" si="2"/>
        <v>OGS</v>
      </c>
      <c r="C47" s="2" t="str">
        <f t="shared" si="2"/>
        <v>Nat Gas Utility</v>
      </c>
      <c r="D47" s="51">
        <f t="shared" si="8"/>
        <v>4081610092.4099998</v>
      </c>
      <c r="E47" s="51">
        <f t="shared" si="4"/>
        <v>0</v>
      </c>
      <c r="F47" s="47">
        <f>J25*(2/1.6)</f>
        <v>2076725000</v>
      </c>
      <c r="G47" s="56">
        <f t="shared" si="6"/>
        <v>6158335092.4099998</v>
      </c>
      <c r="H47" s="12">
        <f t="shared" si="5"/>
        <v>0.66277817480904644</v>
      </c>
      <c r="I47" s="12">
        <f t="shared" si="7"/>
        <v>0.33722182519095362</v>
      </c>
      <c r="J47" t="s">
        <v>6</v>
      </c>
    </row>
    <row r="48" spans="1:12" ht="15.75">
      <c r="A48" s="24" t="str">
        <f t="shared" si="2"/>
        <v>South Jersey Industries Inc.</v>
      </c>
      <c r="B48" s="2" t="str">
        <f t="shared" si="2"/>
        <v>SJI</v>
      </c>
      <c r="C48" s="2" t="str">
        <f t="shared" si="2"/>
        <v>Nat Gas Utility</v>
      </c>
      <c r="D48" s="51">
        <f t="shared" si="8"/>
        <v>2167756307</v>
      </c>
      <c r="E48" s="51">
        <f t="shared" si="4"/>
        <v>0</v>
      </c>
      <c r="F48" s="47">
        <f>J26*(3152224/2919201)</f>
        <v>3152224000</v>
      </c>
      <c r="G48" s="56">
        <f>+D48+E48+F48</f>
        <v>5319980307</v>
      </c>
      <c r="H48" s="12">
        <f>(+D48)/G48</f>
        <v>0.40747449838257455</v>
      </c>
      <c r="I48" s="12">
        <f>(E48+F48)/G48</f>
        <v>0.59252550161742545</v>
      </c>
      <c r="J48" t="s">
        <v>6</v>
      </c>
    </row>
    <row r="49" spans="1:12" ht="15.75">
      <c r="A49" s="24" t="str">
        <f t="shared" si="2"/>
        <v>Southwest Gas Corp</v>
      </c>
      <c r="B49" s="2" t="str">
        <f t="shared" si="2"/>
        <v>SWX</v>
      </c>
      <c r="C49" s="2" t="str">
        <f t="shared" si="2"/>
        <v>Nat Gas Utility</v>
      </c>
      <c r="D49" s="51">
        <f t="shared" si="8"/>
        <v>3474470193.75</v>
      </c>
      <c r="E49" s="51">
        <f t="shared" si="4"/>
        <v>0</v>
      </c>
      <c r="F49" s="47">
        <f>J27*((2457103+150000+200000+0)/(2438206+0))</f>
        <v>2807103000</v>
      </c>
      <c r="G49" s="56">
        <f t="shared" si="6"/>
        <v>6281573193.75</v>
      </c>
      <c r="H49" s="12">
        <f t="shared" si="5"/>
        <v>0.55312102344154912</v>
      </c>
      <c r="I49" s="12">
        <f t="shared" si="7"/>
        <v>0.44687897655845094</v>
      </c>
      <c r="J49" s="75" t="s">
        <v>6</v>
      </c>
    </row>
    <row r="50" spans="1:12" ht="15.75">
      <c r="A50" s="24" t="str">
        <f t="shared" si="2"/>
        <v>Spire Inc</v>
      </c>
      <c r="B50" s="2" t="str">
        <f t="shared" si="2"/>
        <v>SR</v>
      </c>
      <c r="C50" s="2" t="str">
        <f t="shared" si="2"/>
        <v>Nat Gas Utility</v>
      </c>
      <c r="D50" s="51">
        <f t="shared" si="8"/>
        <v>3310868000.0000005</v>
      </c>
      <c r="E50" s="51">
        <f t="shared" si="4"/>
        <v>242000000</v>
      </c>
      <c r="F50" s="47">
        <f>J28*(3119500000/2628400000)</f>
        <v>3001147945.5181861</v>
      </c>
      <c r="G50" s="56">
        <f t="shared" si="6"/>
        <v>6554015945.5181866</v>
      </c>
      <c r="H50" s="12">
        <f t="shared" si="5"/>
        <v>0.50516630223703707</v>
      </c>
      <c r="I50" s="12">
        <f t="shared" si="7"/>
        <v>0.49483369776296293</v>
      </c>
      <c r="J50" t="s">
        <v>6</v>
      </c>
    </row>
    <row r="51" spans="1:12" ht="15.75">
      <c r="A51" s="201" t="str">
        <f t="shared" si="2"/>
        <v>WEC Energy Group</v>
      </c>
      <c r="B51" s="14" t="str">
        <f t="shared" si="2"/>
        <v>WEC</v>
      </c>
      <c r="C51" s="45" t="str">
        <f t="shared" si="2"/>
        <v>Electric &amp; Gas</v>
      </c>
      <c r="D51" s="51">
        <f t="shared" si="8"/>
        <v>29029439887.93</v>
      </c>
      <c r="E51" s="300">
        <f>32300000</f>
        <v>32300000</v>
      </c>
      <c r="F51" s="52">
        <f>J29*(14343.2/12450.5)</f>
        <v>14416237940.644957</v>
      </c>
      <c r="G51" s="56">
        <f>+D51+E51+F51</f>
        <v>43477977828.574959</v>
      </c>
      <c r="H51" s="54">
        <f>(+D51)/G51</f>
        <v>0.66768146399051309</v>
      </c>
      <c r="I51" s="54">
        <f>(E51+F51)/G51</f>
        <v>0.3323185360094868</v>
      </c>
      <c r="L51" s="49"/>
    </row>
    <row r="52" spans="1:12" ht="16.5" thickBot="1">
      <c r="A52" s="301"/>
      <c r="B52" s="301"/>
      <c r="C52" s="301"/>
      <c r="D52" s="48"/>
      <c r="E52" s="48"/>
      <c r="F52" s="48"/>
      <c r="G52" s="48"/>
      <c r="H52" s="48"/>
      <c r="I52" s="48"/>
      <c r="L52" s="49"/>
    </row>
    <row r="55" spans="1:12" ht="15.75">
      <c r="C55" s="132" t="s">
        <v>6</v>
      </c>
      <c r="D55" s="132"/>
      <c r="E55" s="87" t="s">
        <v>6</v>
      </c>
      <c r="F55" s="302" t="s">
        <v>6</v>
      </c>
      <c r="G55" s="58" t="s">
        <v>55</v>
      </c>
      <c r="H55" s="58" t="s">
        <v>291</v>
      </c>
      <c r="I55" s="58" t="s">
        <v>292</v>
      </c>
    </row>
    <row r="56" spans="1:12" ht="15.75">
      <c r="C56" s="132" t="s">
        <v>6</v>
      </c>
      <c r="D56" s="132" t="s">
        <v>6</v>
      </c>
      <c r="E56" s="133" t="s">
        <v>6</v>
      </c>
      <c r="F56" s="302" t="s">
        <v>6</v>
      </c>
      <c r="G56" s="58" t="s">
        <v>57</v>
      </c>
      <c r="H56" s="54">
        <f>MEDIAN(H39:H50)</f>
        <v>0.52914366283929315</v>
      </c>
      <c r="I56" s="54">
        <f>MEDIAN(I39:I50)</f>
        <v>0.47085633716070696</v>
      </c>
    </row>
    <row r="57" spans="1:12" ht="15.75">
      <c r="C57" s="132" t="s">
        <v>6</v>
      </c>
      <c r="D57" s="132"/>
      <c r="E57" s="133" t="s">
        <v>6</v>
      </c>
      <c r="G57" s="58" t="s">
        <v>25</v>
      </c>
      <c r="H57" s="12">
        <f>AVERAGE(H39:H50)</f>
        <v>0.54291603824355672</v>
      </c>
      <c r="I57" s="12">
        <f>AVERAGE(I39:I50)</f>
        <v>0.45708396175644345</v>
      </c>
    </row>
    <row r="58" spans="1:12" ht="15.75">
      <c r="E58" t="s">
        <v>6</v>
      </c>
      <c r="G58" s="24"/>
      <c r="H58" s="24"/>
      <c r="I58" s="24"/>
    </row>
    <row r="59" spans="1:12" ht="21">
      <c r="G59" s="303" t="s">
        <v>20</v>
      </c>
      <c r="H59" s="163">
        <v>0.53</v>
      </c>
      <c r="I59" s="163">
        <v>0.47</v>
      </c>
    </row>
    <row r="60" spans="1:12" ht="15.75">
      <c r="I60" s="24"/>
    </row>
  </sheetData>
  <pageMargins left="0.25" right="0.25" top="0.75" bottom="0.75" header="0.3" footer="0.3"/>
  <pageSetup scale="42" orientation="landscape" r:id="rId1"/>
  <rowBreaks count="1" manualBreakCount="1">
    <brk id="60" max="10" man="1"/>
  </rowBreaks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L35"/>
  <sheetViews>
    <sheetView zoomScaleNormal="100" workbookViewId="0">
      <selection activeCell="D9" sqref="D9"/>
    </sheetView>
  </sheetViews>
  <sheetFormatPr defaultRowHeight="15"/>
  <cols>
    <col min="1" max="1" width="29.140625" customWidth="1"/>
    <col min="2" max="2" width="10.85546875" bestFit="1" customWidth="1"/>
    <col min="3" max="3" width="15.42578125" bestFit="1" customWidth="1"/>
    <col min="4" max="5" width="15.42578125" customWidth="1"/>
    <col min="6" max="6" width="11.85546875" customWidth="1"/>
    <col min="7" max="7" width="12.42578125" customWidth="1"/>
    <col min="8" max="8" width="18.5703125" customWidth="1"/>
    <col min="9" max="9" width="16.7109375" customWidth="1"/>
    <col min="10" max="10" width="15.14062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F4" s="4" t="s">
        <v>6</v>
      </c>
    </row>
    <row r="5" spans="1:12" ht="15.75">
      <c r="A5" s="76" t="s">
        <v>293</v>
      </c>
    </row>
    <row r="6" spans="1:12" ht="15.75" thickBot="1">
      <c r="A6" s="77" t="s">
        <v>6</v>
      </c>
      <c r="B6" s="77" t="s">
        <v>6</v>
      </c>
      <c r="C6" s="77" t="s">
        <v>6</v>
      </c>
      <c r="D6" s="77"/>
      <c r="E6" s="77"/>
      <c r="F6" s="77" t="s">
        <v>6</v>
      </c>
      <c r="G6" s="77" t="s">
        <v>6</v>
      </c>
      <c r="H6" s="77" t="s">
        <v>6</v>
      </c>
      <c r="I6" s="77" t="s">
        <v>6</v>
      </c>
    </row>
    <row r="7" spans="1:12">
      <c r="A7" s="8" t="s">
        <v>6</v>
      </c>
      <c r="B7" s="8" t="s">
        <v>27</v>
      </c>
      <c r="C7" s="8" t="s">
        <v>28</v>
      </c>
      <c r="D7" s="8" t="s">
        <v>63</v>
      </c>
      <c r="E7" s="8" t="s">
        <v>64</v>
      </c>
      <c r="F7" s="8" t="s">
        <v>65</v>
      </c>
      <c r="G7" s="8" t="s">
        <v>66</v>
      </c>
      <c r="H7" s="8" t="s">
        <v>68</v>
      </c>
      <c r="I7" s="8" t="s">
        <v>68</v>
      </c>
    </row>
    <row r="8" spans="1:12" ht="15.75" thickBot="1">
      <c r="A8" s="7" t="s">
        <v>34</v>
      </c>
      <c r="B8" s="7" t="s">
        <v>35</v>
      </c>
      <c r="C8" s="7" t="s">
        <v>36</v>
      </c>
      <c r="D8" s="7"/>
      <c r="E8" s="7" t="s">
        <v>69</v>
      </c>
      <c r="F8" s="7" t="s">
        <v>70</v>
      </c>
      <c r="G8" s="7" t="s">
        <v>71</v>
      </c>
      <c r="H8" s="7" t="s">
        <v>71</v>
      </c>
      <c r="I8" s="7" t="s">
        <v>72</v>
      </c>
    </row>
    <row r="9" spans="1:12">
      <c r="A9" s="9" t="s">
        <v>41</v>
      </c>
      <c r="B9" s="9" t="s">
        <v>41</v>
      </c>
      <c r="C9" s="9" t="s">
        <v>41</v>
      </c>
      <c r="D9" s="9" t="s">
        <v>41</v>
      </c>
      <c r="E9" s="9" t="s">
        <v>41</v>
      </c>
      <c r="F9" s="9" t="s">
        <v>41</v>
      </c>
      <c r="G9" s="304" t="s">
        <v>66</v>
      </c>
      <c r="H9" s="304" t="s">
        <v>68</v>
      </c>
      <c r="I9" s="304" t="s">
        <v>68</v>
      </c>
    </row>
    <row r="10" spans="1:12">
      <c r="A10" s="8"/>
      <c r="B10" s="8"/>
      <c r="C10" s="8"/>
      <c r="D10" s="8"/>
      <c r="E10" s="8"/>
      <c r="F10" s="8"/>
      <c r="G10" s="8"/>
      <c r="H10" s="8"/>
      <c r="I10" s="8"/>
    </row>
    <row r="12" spans="1:12" ht="15.75">
      <c r="A12" s="22" t="s">
        <v>267</v>
      </c>
      <c r="B12" s="3" t="s">
        <v>268</v>
      </c>
      <c r="C12" s="2" t="s">
        <v>294</v>
      </c>
      <c r="D12" s="98">
        <v>0.8</v>
      </c>
      <c r="E12" s="148">
        <v>0.19500000000000001</v>
      </c>
      <c r="F12" s="3" t="s">
        <v>91</v>
      </c>
      <c r="G12" s="78" t="s">
        <v>206</v>
      </c>
      <c r="H12" s="78" t="s">
        <v>209</v>
      </c>
      <c r="I12" s="79">
        <v>2.7900000000000001E-2</v>
      </c>
      <c r="L12" s="98"/>
    </row>
    <row r="13" spans="1:12" ht="15.75">
      <c r="A13" s="22" t="s">
        <v>270</v>
      </c>
      <c r="B13" s="3" t="s">
        <v>271</v>
      </c>
      <c r="C13" s="2" t="s">
        <v>272</v>
      </c>
      <c r="D13" s="98">
        <v>0.95</v>
      </c>
      <c r="E13" s="148">
        <v>0.13</v>
      </c>
      <c r="F13" s="3" t="s">
        <v>206</v>
      </c>
      <c r="G13" s="78" t="s">
        <v>208</v>
      </c>
      <c r="H13" s="78" t="s">
        <v>77</v>
      </c>
      <c r="I13" s="79">
        <v>3.2899999999999999E-2</v>
      </c>
      <c r="L13" s="98"/>
    </row>
    <row r="14" spans="1:12" ht="15.75">
      <c r="A14" s="151" t="s">
        <v>273</v>
      </c>
      <c r="B14" s="3" t="s">
        <v>177</v>
      </c>
      <c r="C14" s="2" t="s">
        <v>272</v>
      </c>
      <c r="D14" s="98">
        <v>1.1499999999999999</v>
      </c>
      <c r="E14" s="148">
        <v>0.2</v>
      </c>
      <c r="F14" s="3" t="s">
        <v>110</v>
      </c>
      <c r="G14" s="78" t="s">
        <v>76</v>
      </c>
      <c r="H14" s="78" t="s">
        <v>77</v>
      </c>
      <c r="I14" s="79">
        <v>3.2899999999999999E-2</v>
      </c>
      <c r="L14" s="98"/>
    </row>
    <row r="15" spans="1:12" ht="15.75">
      <c r="A15" s="151" t="s">
        <v>274</v>
      </c>
      <c r="B15" s="3" t="s">
        <v>179</v>
      </c>
      <c r="C15" s="2" t="s">
        <v>272</v>
      </c>
      <c r="D15" s="98">
        <v>0.8</v>
      </c>
      <c r="E15" s="148">
        <v>0.16</v>
      </c>
      <c r="F15" s="3" t="s">
        <v>105</v>
      </c>
      <c r="G15" s="149"/>
      <c r="H15" s="78" t="s">
        <v>104</v>
      </c>
      <c r="I15" s="79">
        <v>3.2899999999999999E-2</v>
      </c>
      <c r="L15" s="305"/>
    </row>
    <row r="16" spans="1:12" ht="15.75">
      <c r="A16" s="151" t="s">
        <v>275</v>
      </c>
      <c r="B16" s="3" t="s">
        <v>189</v>
      </c>
      <c r="C16" s="2" t="s">
        <v>272</v>
      </c>
      <c r="D16" s="98">
        <v>0.7</v>
      </c>
      <c r="E16" s="148">
        <v>0.16500000000000001</v>
      </c>
      <c r="F16" s="3" t="s">
        <v>91</v>
      </c>
      <c r="G16" s="149"/>
      <c r="H16" s="78" t="s">
        <v>209</v>
      </c>
      <c r="I16" s="79">
        <v>2.7900000000000001E-2</v>
      </c>
      <c r="L16" s="305"/>
    </row>
    <row r="17" spans="1:12" ht="15.75">
      <c r="A17" s="22" t="s">
        <v>276</v>
      </c>
      <c r="B17" s="3" t="s">
        <v>277</v>
      </c>
      <c r="C17" s="2" t="s">
        <v>294</v>
      </c>
      <c r="D17" s="98">
        <v>0.95</v>
      </c>
      <c r="E17" s="148">
        <v>0.15</v>
      </c>
      <c r="F17" s="3" t="s">
        <v>91</v>
      </c>
      <c r="G17" s="78" t="s">
        <v>6</v>
      </c>
      <c r="H17" s="78" t="s">
        <v>209</v>
      </c>
      <c r="I17" s="79">
        <v>2.7900000000000001E-2</v>
      </c>
      <c r="L17" s="98" t="s">
        <v>6</v>
      </c>
    </row>
    <row r="18" spans="1:12" ht="15.75">
      <c r="A18" s="22" t="s">
        <v>295</v>
      </c>
      <c r="B18" s="3" t="s">
        <v>279</v>
      </c>
      <c r="C18" s="2" t="s">
        <v>294</v>
      </c>
      <c r="D18" s="98">
        <v>0.85</v>
      </c>
      <c r="E18" s="148">
        <v>0.21</v>
      </c>
      <c r="F18" s="3" t="s">
        <v>105</v>
      </c>
      <c r="G18" s="78" t="s">
        <v>208</v>
      </c>
      <c r="H18" s="78" t="s">
        <v>77</v>
      </c>
      <c r="I18" s="79">
        <v>3.2899999999999999E-2</v>
      </c>
      <c r="L18" s="98"/>
    </row>
    <row r="19" spans="1:12" ht="15.75">
      <c r="A19" s="22" t="s">
        <v>280</v>
      </c>
      <c r="B19" s="3" t="s">
        <v>281</v>
      </c>
      <c r="C19" s="2" t="s">
        <v>294</v>
      </c>
      <c r="D19" s="98">
        <v>0.8</v>
      </c>
      <c r="E19" s="148">
        <v>0.21</v>
      </c>
      <c r="F19" s="3" t="s">
        <v>206</v>
      </c>
      <c r="G19" s="78" t="s">
        <v>296</v>
      </c>
      <c r="H19" s="78" t="s">
        <v>297</v>
      </c>
      <c r="I19" s="79">
        <v>2.7900000000000001E-2</v>
      </c>
      <c r="L19" s="98"/>
    </row>
    <row r="20" spans="1:12" ht="15.75">
      <c r="A20" s="22" t="s">
        <v>282</v>
      </c>
      <c r="B20" s="3" t="s">
        <v>283</v>
      </c>
      <c r="C20" s="2" t="s">
        <v>294</v>
      </c>
      <c r="D20" s="98">
        <v>0.8</v>
      </c>
      <c r="E20" s="148">
        <v>0.18</v>
      </c>
      <c r="F20" s="3" t="s">
        <v>206</v>
      </c>
      <c r="G20" s="149" t="s">
        <v>206</v>
      </c>
      <c r="H20" s="78" t="s">
        <v>92</v>
      </c>
      <c r="I20" s="79">
        <v>2.7900000000000001E-2</v>
      </c>
      <c r="L20" s="149"/>
    </row>
    <row r="21" spans="1:12" ht="15.75">
      <c r="A21" s="22" t="s">
        <v>284</v>
      </c>
      <c r="B21" s="3" t="s">
        <v>285</v>
      </c>
      <c r="C21" s="2" t="s">
        <v>294</v>
      </c>
      <c r="D21" s="98">
        <v>1.05</v>
      </c>
      <c r="E21" s="148">
        <v>0.21</v>
      </c>
      <c r="F21" s="3" t="s">
        <v>105</v>
      </c>
      <c r="G21" s="78" t="s">
        <v>76</v>
      </c>
      <c r="H21" s="78" t="s">
        <v>206</v>
      </c>
      <c r="I21" s="79">
        <v>2.7900000000000001E-2</v>
      </c>
      <c r="L21" s="98"/>
    </row>
    <row r="22" spans="1:12" ht="15.75">
      <c r="A22" s="22" t="s">
        <v>298</v>
      </c>
      <c r="B22" s="3" t="s">
        <v>287</v>
      </c>
      <c r="C22" s="2" t="s">
        <v>294</v>
      </c>
      <c r="D22" s="98">
        <v>0.95</v>
      </c>
      <c r="E22" s="148">
        <v>0.21</v>
      </c>
      <c r="F22" s="3" t="s">
        <v>206</v>
      </c>
      <c r="G22" s="149" t="s">
        <v>207</v>
      </c>
      <c r="H22" s="78" t="s">
        <v>212</v>
      </c>
      <c r="I22" s="79">
        <v>2.7900000000000001E-2</v>
      </c>
      <c r="L22" s="149"/>
    </row>
    <row r="23" spans="1:12" ht="15.75">
      <c r="A23" s="22" t="s">
        <v>288</v>
      </c>
      <c r="B23" s="3" t="s">
        <v>289</v>
      </c>
      <c r="C23" s="2" t="s">
        <v>294</v>
      </c>
      <c r="D23" s="98">
        <v>0.85</v>
      </c>
      <c r="E23" s="148">
        <v>0.123</v>
      </c>
      <c r="F23" s="3" t="s">
        <v>105</v>
      </c>
      <c r="G23" s="78" t="s">
        <v>208</v>
      </c>
      <c r="H23" s="78" t="s">
        <v>77</v>
      </c>
      <c r="I23" s="79">
        <v>3.2899999999999999E-2</v>
      </c>
      <c r="L23" s="98"/>
    </row>
    <row r="24" spans="1:12" ht="15.75">
      <c r="A24" s="151" t="s">
        <v>198</v>
      </c>
      <c r="B24" s="3" t="s">
        <v>199</v>
      </c>
      <c r="C24" s="2" t="s">
        <v>272</v>
      </c>
      <c r="D24" s="98">
        <v>0.8</v>
      </c>
      <c r="E24" s="148">
        <v>0.16500000000000001</v>
      </c>
      <c r="F24" s="3" t="s">
        <v>91</v>
      </c>
      <c r="G24" s="78"/>
      <c r="H24" s="78" t="s">
        <v>104</v>
      </c>
      <c r="I24" s="79">
        <v>3.2899999999999999E-2</v>
      </c>
      <c r="L24" s="98"/>
    </row>
    <row r="25" spans="1:12" ht="15.75" thickBot="1">
      <c r="C25" s="82"/>
      <c r="D25" s="83"/>
      <c r="E25" s="83"/>
      <c r="F25" s="83"/>
      <c r="G25" s="83"/>
      <c r="H25" s="83"/>
      <c r="I25" s="83"/>
    </row>
    <row r="26" spans="1:12" ht="15.75" thickTop="1">
      <c r="C26" s="87" t="s">
        <v>55</v>
      </c>
      <c r="D26" s="85" t="s">
        <v>299</v>
      </c>
      <c r="E26" s="85" t="s">
        <v>300</v>
      </c>
      <c r="G26" s="3" t="s">
        <v>6</v>
      </c>
      <c r="H26" s="98" t="s">
        <v>6</v>
      </c>
      <c r="I26" s="86" t="s">
        <v>138</v>
      </c>
    </row>
    <row r="27" spans="1:12">
      <c r="C27" s="87" t="s">
        <v>57</v>
      </c>
      <c r="D27" s="88">
        <f>MEDIAN(D12:D24)</f>
        <v>0.85</v>
      </c>
      <c r="E27" s="89">
        <f>MEDIAN(E12:E24)</f>
        <v>0.18</v>
      </c>
      <c r="G27" s="3" t="s">
        <v>206</v>
      </c>
      <c r="H27" s="3" t="s">
        <v>301</v>
      </c>
      <c r="I27" s="186">
        <f>MEDIAN(I12:I24)</f>
        <v>2.7900000000000001E-2</v>
      </c>
    </row>
    <row r="28" spans="1:12">
      <c r="C28" s="87" t="s">
        <v>25</v>
      </c>
      <c r="D28" s="90">
        <f>AVERAGE(D12:D24)</f>
        <v>0.88076923076923075</v>
      </c>
      <c r="E28" s="91">
        <f>AVERAGE(E12:E24)</f>
        <v>0.17753846153846153</v>
      </c>
      <c r="G28" s="3" t="s">
        <v>6</v>
      </c>
      <c r="H28" s="3" t="s">
        <v>6</v>
      </c>
      <c r="I28" s="13">
        <f>AVERAGE(I12:I24)</f>
        <v>3.0207692307692303E-2</v>
      </c>
    </row>
    <row r="29" spans="1:12">
      <c r="I29" s="144"/>
    </row>
    <row r="30" spans="1:12" ht="21">
      <c r="H30" s="61" t="s">
        <v>78</v>
      </c>
      <c r="I30" s="150">
        <v>2.7900000000000001E-2</v>
      </c>
      <c r="J30" s="93" t="s">
        <v>6</v>
      </c>
    </row>
    <row r="31" spans="1:12">
      <c r="I31" s="144"/>
    </row>
    <row r="33" spans="1:1">
      <c r="A33" s="73"/>
    </row>
    <row r="34" spans="1:1">
      <c r="A34" s="73"/>
    </row>
    <row r="35" spans="1:1">
      <c r="A35" s="73"/>
    </row>
  </sheetData>
  <pageMargins left="0.25" right="0.25" top="0.75" bottom="0.75" header="0.3" footer="0.3"/>
  <pageSetup scale="56" orientation="portrait" r:id="rId1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H60"/>
  <sheetViews>
    <sheetView zoomScale="90" zoomScaleNormal="90" workbookViewId="0">
      <selection activeCell="D14" sqref="D14"/>
    </sheetView>
  </sheetViews>
  <sheetFormatPr defaultRowHeight="15"/>
  <cols>
    <col min="1" max="1" width="31.85546875" customWidth="1"/>
    <col min="2" max="2" width="20.7109375" customWidth="1"/>
    <col min="3" max="3" width="17.85546875" customWidth="1"/>
    <col min="4" max="4" width="24" customWidth="1"/>
    <col min="5" max="5" width="19.42578125" customWidth="1"/>
    <col min="6" max="6" width="24" customWidth="1"/>
    <col min="7" max="7" width="19.42578125" customWidth="1"/>
    <col min="8" max="8" width="24" customWidth="1"/>
  </cols>
  <sheetData>
    <row r="1" spans="1:8" ht="21">
      <c r="A1" s="23" t="s">
        <v>0</v>
      </c>
    </row>
    <row r="2" spans="1:8" ht="15.75">
      <c r="A2" s="24" t="s">
        <v>1</v>
      </c>
    </row>
    <row r="3" spans="1:8">
      <c r="A3" s="22" t="s">
        <v>2</v>
      </c>
    </row>
    <row r="4" spans="1:8">
      <c r="E4" s="4"/>
    </row>
    <row r="5" spans="1:8" ht="15.75">
      <c r="A5" s="76" t="s">
        <v>293</v>
      </c>
    </row>
    <row r="6" spans="1:8" ht="15.75">
      <c r="A6" s="76"/>
    </row>
    <row r="7" spans="1:8" ht="18.75">
      <c r="A7" s="76"/>
      <c r="E7" s="95" t="s">
        <v>79</v>
      </c>
    </row>
    <row r="8" spans="1:8" ht="18.75">
      <c r="A8" s="76"/>
      <c r="E8" s="95" t="s">
        <v>80</v>
      </c>
    </row>
    <row r="9" spans="1:8" ht="15.75">
      <c r="A9" s="76"/>
      <c r="E9" s="280" t="s">
        <v>6</v>
      </c>
    </row>
    <row r="10" spans="1:8" ht="15.75" thickBot="1">
      <c r="A10" s="77" t="s">
        <v>6</v>
      </c>
      <c r="B10" s="77" t="s">
        <v>6</v>
      </c>
      <c r="C10" s="77"/>
      <c r="D10" s="77" t="s">
        <v>6</v>
      </c>
      <c r="E10" s="77" t="s">
        <v>6</v>
      </c>
      <c r="F10" s="77" t="s">
        <v>6</v>
      </c>
      <c r="G10" s="77" t="s">
        <v>6</v>
      </c>
    </row>
    <row r="11" spans="1:8">
      <c r="A11" s="8" t="s">
        <v>6</v>
      </c>
      <c r="B11" s="8" t="s">
        <v>27</v>
      </c>
      <c r="C11" s="8"/>
      <c r="D11" s="8" t="s">
        <v>6</v>
      </c>
      <c r="E11" s="8" t="s">
        <v>81</v>
      </c>
      <c r="F11" s="8" t="s">
        <v>81</v>
      </c>
      <c r="G11" s="8" t="s">
        <v>82</v>
      </c>
    </row>
    <row r="12" spans="1:8" ht="15.75" thickBot="1">
      <c r="A12" s="7" t="s">
        <v>34</v>
      </c>
      <c r="B12" s="7" t="s">
        <v>35</v>
      </c>
      <c r="C12" s="7"/>
      <c r="D12" s="7" t="s">
        <v>83</v>
      </c>
      <c r="E12" s="7" t="s">
        <v>84</v>
      </c>
      <c r="F12" s="7" t="s">
        <v>85</v>
      </c>
      <c r="G12" s="7" t="s">
        <v>86</v>
      </c>
    </row>
    <row r="13" spans="1:8">
      <c r="A13" s="9" t="s">
        <v>6</v>
      </c>
      <c r="B13" s="9" t="s">
        <v>6</v>
      </c>
      <c r="C13" s="9"/>
      <c r="D13" s="9" t="s">
        <v>41</v>
      </c>
      <c r="E13" s="115" t="s">
        <v>87</v>
      </c>
      <c r="F13" s="9" t="s">
        <v>6</v>
      </c>
      <c r="G13" s="9" t="s">
        <v>6</v>
      </c>
    </row>
    <row r="14" spans="1:8">
      <c r="A14" s="8"/>
      <c r="B14" s="8"/>
      <c r="C14" s="8"/>
      <c r="D14" s="8"/>
      <c r="F14" s="8"/>
      <c r="G14" s="8"/>
    </row>
    <row r="15" spans="1:8">
      <c r="B15" t="s">
        <v>6</v>
      </c>
      <c r="D15" t="s">
        <v>6</v>
      </c>
      <c r="E15" t="s">
        <v>6</v>
      </c>
      <c r="F15" s="306" t="s">
        <v>6</v>
      </c>
      <c r="G15" s="107" t="s">
        <v>6</v>
      </c>
      <c r="H15" t="s">
        <v>6</v>
      </c>
    </row>
    <row r="16" spans="1:8" ht="15.75">
      <c r="A16" s="22" t="s">
        <v>267</v>
      </c>
      <c r="B16" s="3" t="s">
        <v>268</v>
      </c>
      <c r="C16" s="2" t="s">
        <v>294</v>
      </c>
      <c r="D16" s="46">
        <v>95.43</v>
      </c>
      <c r="E16" s="78">
        <v>8.0299999999999994</v>
      </c>
      <c r="F16" s="99">
        <f>D16/E16</f>
        <v>11.884184308841846</v>
      </c>
      <c r="G16" s="100">
        <f t="shared" ref="G16:G28" si="0">1/F16</f>
        <v>8.4145446924447226E-2</v>
      </c>
    </row>
    <row r="17" spans="1:7" ht="15.75">
      <c r="A17" s="22" t="s">
        <v>270</v>
      </c>
      <c r="B17" s="3" t="s">
        <v>271</v>
      </c>
      <c r="C17" s="2" t="s">
        <v>272</v>
      </c>
      <c r="D17" s="46">
        <v>61.45</v>
      </c>
      <c r="E17" s="78">
        <v>7.3</v>
      </c>
      <c r="F17" s="99">
        <f t="shared" ref="F17:F28" si="1">D17/E17</f>
        <v>8.4178082191780828</v>
      </c>
      <c r="G17" s="100">
        <f t="shared" si="0"/>
        <v>0.11879576891781936</v>
      </c>
    </row>
    <row r="18" spans="1:7" ht="15.75">
      <c r="A18" s="151" t="s">
        <v>273</v>
      </c>
      <c r="B18" s="3" t="s">
        <v>177</v>
      </c>
      <c r="C18" s="2" t="s">
        <v>272</v>
      </c>
      <c r="D18" s="46">
        <v>21.64</v>
      </c>
      <c r="E18" s="78">
        <v>3.46</v>
      </c>
      <c r="F18" s="99">
        <f t="shared" si="1"/>
        <v>6.2543352601156075</v>
      </c>
      <c r="G18" s="100">
        <f t="shared" si="0"/>
        <v>0.15988909426987061</v>
      </c>
    </row>
    <row r="19" spans="1:7" ht="15.75">
      <c r="A19" s="151" t="s">
        <v>274</v>
      </c>
      <c r="B19" s="3" t="s">
        <v>179</v>
      </c>
      <c r="C19" s="2" t="s">
        <v>272</v>
      </c>
      <c r="D19" s="46">
        <v>61.01</v>
      </c>
      <c r="E19" s="78">
        <v>6.24</v>
      </c>
      <c r="F19" s="99">
        <f t="shared" si="1"/>
        <v>9.7772435897435894</v>
      </c>
      <c r="G19" s="100">
        <f t="shared" si="0"/>
        <v>0.10227831503032291</v>
      </c>
    </row>
    <row r="20" spans="1:7" ht="15.75">
      <c r="A20" s="151" t="s">
        <v>275</v>
      </c>
      <c r="B20" s="3" t="s">
        <v>189</v>
      </c>
      <c r="C20" s="2" t="s">
        <v>272</v>
      </c>
      <c r="D20" s="46">
        <v>70.03</v>
      </c>
      <c r="E20" s="78">
        <v>4.74</v>
      </c>
      <c r="F20" s="99">
        <f t="shared" si="1"/>
        <v>14.774261603375527</v>
      </c>
      <c r="G20" s="100">
        <f t="shared" si="0"/>
        <v>6.768527773811224E-2</v>
      </c>
    </row>
    <row r="21" spans="1:7" ht="15.75">
      <c r="A21" s="22" t="s">
        <v>276</v>
      </c>
      <c r="B21" s="3" t="s">
        <v>277</v>
      </c>
      <c r="C21" s="2" t="s">
        <v>294</v>
      </c>
      <c r="D21" s="46">
        <v>35.549999999999997</v>
      </c>
      <c r="E21" s="78">
        <v>3.3</v>
      </c>
      <c r="F21" s="99">
        <f t="shared" si="1"/>
        <v>10.772727272727272</v>
      </c>
      <c r="G21" s="100">
        <f t="shared" si="0"/>
        <v>9.2827004219409287E-2</v>
      </c>
    </row>
    <row r="22" spans="1:7" ht="15.75">
      <c r="A22" s="22" t="s">
        <v>295</v>
      </c>
      <c r="B22" s="3" t="s">
        <v>279</v>
      </c>
      <c r="C22" s="2" t="s">
        <v>294</v>
      </c>
      <c r="D22" s="45">
        <v>22.94</v>
      </c>
      <c r="E22" s="78">
        <v>3.1</v>
      </c>
      <c r="F22" s="99">
        <f t="shared" si="1"/>
        <v>7.4</v>
      </c>
      <c r="G22" s="100">
        <f t="shared" si="0"/>
        <v>0.13513513513513511</v>
      </c>
    </row>
    <row r="23" spans="1:7" ht="15.75">
      <c r="A23" s="22" t="s">
        <v>280</v>
      </c>
      <c r="B23" s="3" t="s">
        <v>281</v>
      </c>
      <c r="C23" s="2" t="s">
        <v>294</v>
      </c>
      <c r="D23" s="46">
        <v>45.99</v>
      </c>
      <c r="E23" s="78">
        <v>5.3</v>
      </c>
      <c r="F23" s="99">
        <f t="shared" si="1"/>
        <v>8.6773584905660393</v>
      </c>
      <c r="G23" s="100">
        <f t="shared" si="0"/>
        <v>0.11524244400956728</v>
      </c>
    </row>
    <row r="24" spans="1:7" ht="15.75">
      <c r="A24" s="22" t="s">
        <v>302</v>
      </c>
      <c r="B24" s="3" t="s">
        <v>283</v>
      </c>
      <c r="C24" s="2" t="s">
        <v>294</v>
      </c>
      <c r="D24" s="45">
        <v>76.77</v>
      </c>
      <c r="E24" s="78">
        <v>7.3</v>
      </c>
      <c r="F24" s="99">
        <f t="shared" si="1"/>
        <v>10.516438356164384</v>
      </c>
      <c r="G24" s="100">
        <f t="shared" si="0"/>
        <v>9.508922756285007E-2</v>
      </c>
    </row>
    <row r="25" spans="1:7" ht="15.75">
      <c r="A25" s="22" t="s">
        <v>284</v>
      </c>
      <c r="B25" s="3" t="s">
        <v>285</v>
      </c>
      <c r="C25" s="2" t="s">
        <v>294</v>
      </c>
      <c r="D25" s="46">
        <v>21.55</v>
      </c>
      <c r="E25" s="78">
        <v>2.65</v>
      </c>
      <c r="F25" s="99">
        <f>D25/E25</f>
        <v>8.1320754716981138</v>
      </c>
      <c r="G25" s="100">
        <f>1/F25</f>
        <v>0.12296983758700696</v>
      </c>
    </row>
    <row r="26" spans="1:7" ht="15.75">
      <c r="A26" s="151" t="s">
        <v>303</v>
      </c>
      <c r="B26" s="3" t="s">
        <v>287</v>
      </c>
      <c r="C26" s="2" t="s">
        <v>294</v>
      </c>
      <c r="D26" s="45">
        <v>60.75</v>
      </c>
      <c r="E26" s="78">
        <v>9.65</v>
      </c>
      <c r="F26" s="99">
        <f t="shared" ref="F26" si="2">D26/E26</f>
        <v>6.295336787564767</v>
      </c>
      <c r="G26" s="100">
        <f t="shared" ref="G26" si="3">1/F26</f>
        <v>0.15884773662551441</v>
      </c>
    </row>
    <row r="27" spans="1:7" ht="15.75">
      <c r="A27" s="22" t="s">
        <v>288</v>
      </c>
      <c r="B27" s="3" t="s">
        <v>289</v>
      </c>
      <c r="C27" s="2" t="s">
        <v>294</v>
      </c>
      <c r="D27" s="46">
        <v>64.040000000000006</v>
      </c>
      <c r="E27" s="78">
        <v>5.25</v>
      </c>
      <c r="F27" s="99">
        <f t="shared" si="1"/>
        <v>12.19809523809524</v>
      </c>
      <c r="G27" s="100">
        <f t="shared" si="0"/>
        <v>8.1980012492192361E-2</v>
      </c>
    </row>
    <row r="28" spans="1:7" ht="15.75">
      <c r="A28" s="151" t="s">
        <v>198</v>
      </c>
      <c r="B28" s="3" t="s">
        <v>199</v>
      </c>
      <c r="C28" s="2" t="s">
        <v>272</v>
      </c>
      <c r="D28" s="46">
        <v>92.03</v>
      </c>
      <c r="E28" s="78">
        <v>6.9</v>
      </c>
      <c r="F28" s="99">
        <f t="shared" si="1"/>
        <v>13.33768115942029</v>
      </c>
      <c r="G28" s="100">
        <f t="shared" si="0"/>
        <v>7.4975551450613923E-2</v>
      </c>
    </row>
    <row r="29" spans="1:7" ht="16.5" thickBot="1">
      <c r="B29" s="82"/>
      <c r="C29" s="82"/>
      <c r="D29" s="307" t="s">
        <v>6</v>
      </c>
      <c r="E29" s="83"/>
      <c r="F29" s="83"/>
      <c r="G29" s="83"/>
    </row>
    <row r="30" spans="1:7" ht="15.75" thickTop="1">
      <c r="B30" s="87" t="s">
        <v>55</v>
      </c>
      <c r="C30" s="87"/>
      <c r="D30" s="281" t="s">
        <v>304</v>
      </c>
      <c r="E30" s="281" t="s">
        <v>305</v>
      </c>
      <c r="F30" s="281" t="s">
        <v>306</v>
      </c>
      <c r="G30" s="281" t="s">
        <v>307</v>
      </c>
    </row>
    <row r="31" spans="1:7">
      <c r="B31" s="87" t="s">
        <v>57</v>
      </c>
      <c r="C31" s="87"/>
      <c r="D31" s="282">
        <f>MEDIAN(D16:D28)</f>
        <v>61.01</v>
      </c>
      <c r="E31" s="308">
        <f>MEDIAN(E16:E28)</f>
        <v>5.3</v>
      </c>
      <c r="F31" s="282">
        <f>MEDIAN(F16:F28)</f>
        <v>9.7772435897435894</v>
      </c>
      <c r="G31" s="91">
        <f>MEDIAN(G16:G28)</f>
        <v>0.10227831503032291</v>
      </c>
    </row>
    <row r="32" spans="1:7">
      <c r="B32" s="87" t="s">
        <v>25</v>
      </c>
      <c r="C32" s="87"/>
      <c r="D32" s="282">
        <f>AVERAGE(D16:D28)</f>
        <v>56.090769230769219</v>
      </c>
      <c r="E32" s="282">
        <f>AVERAGE(E16:E28)</f>
        <v>5.632307692307692</v>
      </c>
      <c r="F32" s="282">
        <f>AVERAGE(F16:F28)</f>
        <v>9.8798112121146744</v>
      </c>
      <c r="G32" s="284">
        <f>AVERAGE(G16:G28)</f>
        <v>0.10845083476637396</v>
      </c>
    </row>
    <row r="34" spans="1:7" ht="21">
      <c r="F34" s="61" t="s">
        <v>20</v>
      </c>
      <c r="G34" s="150">
        <v>0.1023</v>
      </c>
    </row>
    <row r="36" spans="1:7">
      <c r="A36" s="309" t="s">
        <v>226</v>
      </c>
      <c r="B36" s="310"/>
      <c r="C36" s="310"/>
      <c r="D36" s="310"/>
      <c r="E36" s="310"/>
      <c r="F36" s="311"/>
    </row>
    <row r="37" spans="1:7">
      <c r="A37" s="312"/>
      <c r="B37" s="289"/>
      <c r="C37" s="289"/>
      <c r="D37" s="289"/>
      <c r="E37" s="289"/>
      <c r="F37" s="313"/>
    </row>
    <row r="38" spans="1:7">
      <c r="A38" s="314" t="s">
        <v>308</v>
      </c>
      <c r="B38" s="183"/>
      <c r="C38" s="183"/>
      <c r="D38" s="183"/>
      <c r="E38" s="183"/>
      <c r="F38" s="315"/>
    </row>
    <row r="39" spans="1:7">
      <c r="A39" s="312" t="s">
        <v>309</v>
      </c>
      <c r="B39" s="289"/>
      <c r="C39" s="289"/>
      <c r="D39" s="289"/>
      <c r="E39" s="289"/>
      <c r="F39" s="313"/>
    </row>
    <row r="40" spans="1:7">
      <c r="A40" s="312" t="s">
        <v>310</v>
      </c>
      <c r="B40" s="289"/>
      <c r="C40" s="289"/>
      <c r="D40" s="289"/>
      <c r="E40" s="289"/>
      <c r="F40" s="313"/>
    </row>
    <row r="41" spans="1:7">
      <c r="A41" s="312" t="s">
        <v>311</v>
      </c>
      <c r="B41" s="289"/>
      <c r="C41" s="289"/>
      <c r="D41" s="289"/>
      <c r="E41" s="289"/>
      <c r="F41" s="313"/>
    </row>
    <row r="42" spans="1:7">
      <c r="A42" s="316" t="s">
        <v>312</v>
      </c>
      <c r="B42" s="317"/>
      <c r="C42" s="317"/>
      <c r="D42" s="317"/>
      <c r="E42" s="317"/>
      <c r="F42" s="318"/>
    </row>
    <row r="44" spans="1:7">
      <c r="A44" s="319" t="s">
        <v>313</v>
      </c>
      <c r="B44" s="310"/>
      <c r="C44" s="310"/>
      <c r="D44" s="310"/>
      <c r="E44" s="310"/>
      <c r="F44" s="310"/>
      <c r="G44" s="311"/>
    </row>
    <row r="45" spans="1:7">
      <c r="A45" s="320"/>
      <c r="B45" s="289"/>
      <c r="C45" s="289"/>
      <c r="D45" s="289"/>
      <c r="E45" s="289"/>
      <c r="F45" s="289"/>
      <c r="G45" s="313"/>
    </row>
    <row r="46" spans="1:7">
      <c r="A46" s="320" t="s">
        <v>314</v>
      </c>
      <c r="B46" s="289"/>
      <c r="C46" s="289"/>
      <c r="D46" s="289"/>
      <c r="E46" s="289"/>
      <c r="F46" s="289"/>
      <c r="G46" s="313"/>
    </row>
    <row r="47" spans="1:7">
      <c r="A47" s="320" t="s">
        <v>315</v>
      </c>
      <c r="B47" s="289"/>
      <c r="C47" s="289"/>
      <c r="D47" s="289"/>
      <c r="E47" s="289"/>
      <c r="F47" s="289"/>
      <c r="G47" s="313"/>
    </row>
    <row r="48" spans="1:7">
      <c r="A48" s="320" t="s">
        <v>316</v>
      </c>
      <c r="B48" s="289"/>
      <c r="C48" s="289"/>
      <c r="D48" s="289"/>
      <c r="E48" s="289"/>
      <c r="F48" s="289"/>
      <c r="G48" s="313"/>
    </row>
    <row r="49" spans="1:8">
      <c r="A49" s="320" t="s">
        <v>317</v>
      </c>
      <c r="B49" s="289"/>
      <c r="C49" s="289"/>
      <c r="D49" s="289"/>
      <c r="E49" s="289"/>
      <c r="F49" s="289"/>
      <c r="G49" s="313"/>
    </row>
    <row r="50" spans="1:8">
      <c r="A50" s="321" t="s">
        <v>318</v>
      </c>
      <c r="B50" s="317"/>
      <c r="C50" s="317"/>
      <c r="D50" s="317"/>
      <c r="E50" s="317"/>
      <c r="F50" s="317"/>
      <c r="G50" s="318"/>
    </row>
    <row r="53" spans="1:8">
      <c r="A53" s="322" t="s">
        <v>319</v>
      </c>
      <c r="B53" s="310"/>
      <c r="C53" s="310"/>
      <c r="D53" s="310"/>
      <c r="E53" s="310"/>
      <c r="F53" s="310"/>
      <c r="G53" s="310"/>
      <c r="H53" s="311"/>
    </row>
    <row r="54" spans="1:8">
      <c r="A54" s="323" t="s">
        <v>320</v>
      </c>
      <c r="B54" s="289"/>
      <c r="C54" s="289"/>
      <c r="D54" s="289"/>
      <c r="E54" s="289"/>
      <c r="F54" s="289"/>
      <c r="G54" s="289"/>
      <c r="H54" s="313"/>
    </row>
    <row r="55" spans="1:8">
      <c r="A55" s="323" t="s">
        <v>321</v>
      </c>
      <c r="B55" s="289"/>
      <c r="C55" s="289"/>
      <c r="D55" s="289"/>
      <c r="E55" s="289"/>
      <c r="F55" s="289"/>
      <c r="G55" s="289"/>
      <c r="H55" s="313"/>
    </row>
    <row r="56" spans="1:8">
      <c r="A56" s="323" t="s">
        <v>322</v>
      </c>
      <c r="B56" s="289"/>
      <c r="C56" s="289"/>
      <c r="D56" s="289"/>
      <c r="E56" s="289"/>
      <c r="F56" s="289"/>
      <c r="G56" s="289"/>
      <c r="H56" s="313"/>
    </row>
    <row r="57" spans="1:8">
      <c r="A57" s="323" t="s">
        <v>323</v>
      </c>
      <c r="B57" s="289"/>
      <c r="C57" s="289"/>
      <c r="D57" s="289"/>
      <c r="E57" s="289"/>
      <c r="F57" s="289"/>
      <c r="G57" s="289"/>
      <c r="H57" s="313"/>
    </row>
    <row r="58" spans="1:8">
      <c r="A58" s="323" t="s">
        <v>324</v>
      </c>
      <c r="B58" s="289"/>
      <c r="C58" s="289"/>
      <c r="D58" s="289"/>
      <c r="E58" s="289"/>
      <c r="F58" s="289"/>
      <c r="G58" s="289"/>
      <c r="H58" s="313"/>
    </row>
    <row r="59" spans="1:8">
      <c r="A59" s="323" t="s">
        <v>325</v>
      </c>
      <c r="B59" s="289"/>
      <c r="C59" s="289"/>
      <c r="D59" s="289"/>
      <c r="E59" s="289"/>
      <c r="F59" s="289"/>
      <c r="G59" s="289"/>
      <c r="H59" s="313"/>
    </row>
    <row r="60" spans="1:8">
      <c r="A60" s="324" t="s">
        <v>326</v>
      </c>
      <c r="B60" s="317"/>
      <c r="C60" s="317"/>
      <c r="D60" s="317"/>
      <c r="E60" s="317"/>
      <c r="F60" s="317"/>
      <c r="G60" s="317"/>
      <c r="H60" s="318"/>
    </row>
  </sheetData>
  <pageMargins left="0.25" right="0.25" top="0.75" bottom="0.75" header="0.3" footer="0.3"/>
  <pageSetup scale="79" orientation="landscape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7"/>
  <sheetViews>
    <sheetView topLeftCell="A13" zoomScale="90" zoomScaleNormal="90" workbookViewId="0">
      <selection activeCell="C34" sqref="C34"/>
    </sheetView>
  </sheetViews>
  <sheetFormatPr defaultRowHeight="15"/>
  <cols>
    <col min="1" max="1" width="43.7109375" customWidth="1"/>
    <col min="2" max="2" width="14.42578125" bestFit="1" customWidth="1"/>
    <col min="3" max="3" width="18.85546875" customWidth="1"/>
    <col min="4" max="4" width="20.42578125" customWidth="1"/>
    <col min="5" max="5" width="14.7109375" bestFit="1" customWidth="1"/>
    <col min="6" max="6" width="21.7109375" customWidth="1"/>
    <col min="7" max="7" width="9.140625" customWidth="1"/>
  </cols>
  <sheetData>
    <row r="1" spans="1:7" ht="21">
      <c r="A1" s="23" t="s">
        <v>0</v>
      </c>
    </row>
    <row r="2" spans="1:7" ht="15.75">
      <c r="A2" s="24" t="s">
        <v>1</v>
      </c>
    </row>
    <row r="3" spans="1:7">
      <c r="A3" s="22" t="s">
        <v>2</v>
      </c>
    </row>
    <row r="4" spans="1:7">
      <c r="D4" s="4" t="s">
        <v>6</v>
      </c>
    </row>
    <row r="5" spans="1:7" ht="15.75">
      <c r="A5" s="76" t="s">
        <v>22</v>
      </c>
    </row>
    <row r="6" spans="1:7" ht="15.75">
      <c r="A6" s="76"/>
    </row>
    <row r="7" spans="1:7" ht="18.75">
      <c r="A7" s="76"/>
      <c r="D7" s="95" t="s">
        <v>79</v>
      </c>
    </row>
    <row r="8" spans="1:7" ht="18.75">
      <c r="A8" s="76"/>
      <c r="D8" s="95" t="s">
        <v>80</v>
      </c>
    </row>
    <row r="9" spans="1:7" ht="15.75">
      <c r="A9" s="76"/>
      <c r="D9" s="96" t="s">
        <v>6</v>
      </c>
    </row>
    <row r="10" spans="1:7" ht="15.75" thickBot="1">
      <c r="A10" s="77" t="s">
        <v>6</v>
      </c>
      <c r="B10" s="77" t="s">
        <v>6</v>
      </c>
      <c r="C10" s="77" t="s">
        <v>6</v>
      </c>
      <c r="D10" s="77" t="s">
        <v>6</v>
      </c>
      <c r="E10" s="77" t="s">
        <v>6</v>
      </c>
      <c r="F10" s="77" t="s">
        <v>6</v>
      </c>
    </row>
    <row r="11" spans="1:7">
      <c r="A11" s="8" t="s">
        <v>6</v>
      </c>
      <c r="B11" s="8" t="s">
        <v>27</v>
      </c>
      <c r="C11" s="8" t="s">
        <v>6</v>
      </c>
      <c r="D11" s="8" t="s">
        <v>81</v>
      </c>
      <c r="E11" s="8" t="s">
        <v>81</v>
      </c>
      <c r="F11" s="8" t="s">
        <v>82</v>
      </c>
    </row>
    <row r="12" spans="1:7" ht="15.75" thickBot="1">
      <c r="A12" s="7" t="s">
        <v>34</v>
      </c>
      <c r="B12" s="7" t="s">
        <v>35</v>
      </c>
      <c r="C12" s="7" t="s">
        <v>83</v>
      </c>
      <c r="D12" s="7" t="s">
        <v>84</v>
      </c>
      <c r="E12" s="7" t="s">
        <v>85</v>
      </c>
      <c r="F12" s="7" t="s">
        <v>86</v>
      </c>
    </row>
    <row r="13" spans="1:7">
      <c r="A13" s="9" t="s">
        <v>6</v>
      </c>
      <c r="B13" s="9" t="s">
        <v>6</v>
      </c>
      <c r="C13" s="9" t="s">
        <v>41</v>
      </c>
      <c r="D13" s="115" t="s">
        <v>87</v>
      </c>
      <c r="E13" s="9" t="s">
        <v>6</v>
      </c>
      <c r="F13" s="9" t="s">
        <v>6</v>
      </c>
    </row>
    <row r="14" spans="1:7">
      <c r="A14" s="8"/>
      <c r="B14" s="8"/>
      <c r="C14" s="8"/>
      <c r="D14" s="8"/>
      <c r="E14" s="8"/>
      <c r="F14" s="8"/>
    </row>
    <row r="15" spans="1:7">
      <c r="A15" s="22" t="s">
        <v>6</v>
      </c>
      <c r="B15" s="3" t="s">
        <v>6</v>
      </c>
      <c r="C15" s="98" t="s">
        <v>6</v>
      </c>
      <c r="D15" s="98" t="s">
        <v>6</v>
      </c>
      <c r="E15" s="99" t="s">
        <v>6</v>
      </c>
      <c r="F15" s="100" t="s">
        <v>6</v>
      </c>
    </row>
    <row r="16" spans="1:7">
      <c r="A16" s="119" t="s">
        <v>125</v>
      </c>
      <c r="B16" s="3" t="s">
        <v>126</v>
      </c>
      <c r="C16" s="78">
        <v>31.34</v>
      </c>
      <c r="D16" s="78">
        <v>5.94</v>
      </c>
      <c r="E16" s="78">
        <f>C16/D16</f>
        <v>5.2760942760942759</v>
      </c>
      <c r="F16" s="79">
        <f>1/E16</f>
        <v>0.18953414167198468</v>
      </c>
      <c r="G16" s="432"/>
    </row>
    <row r="17" spans="1:6">
      <c r="A17" s="119" t="s">
        <v>135</v>
      </c>
      <c r="B17" s="80" t="s">
        <v>128</v>
      </c>
      <c r="C17" s="78">
        <v>54.54</v>
      </c>
      <c r="D17" s="78">
        <v>22.2</v>
      </c>
      <c r="E17" s="78">
        <f>C17/D17</f>
        <v>2.4567567567567568</v>
      </c>
      <c r="F17" s="79">
        <f t="shared" ref="F17:F19" si="0">1/E17</f>
        <v>0.40704070407040704</v>
      </c>
    </row>
    <row r="18" spans="1:6">
      <c r="A18" s="22" t="s">
        <v>73</v>
      </c>
      <c r="B18" s="3" t="s">
        <v>44</v>
      </c>
      <c r="C18" s="78">
        <v>259.62</v>
      </c>
      <c r="D18" s="78">
        <v>23.32</v>
      </c>
      <c r="E18" s="78">
        <f t="shared" ref="E18:E19" si="1">C18/D18</f>
        <v>11.132933104631219</v>
      </c>
      <c r="F18" s="79">
        <f t="shared" si="0"/>
        <v>8.9823588321392797E-2</v>
      </c>
    </row>
    <row r="19" spans="1:6">
      <c r="A19" s="22" t="s">
        <v>89</v>
      </c>
      <c r="B19" s="3" t="s">
        <v>90</v>
      </c>
      <c r="C19" s="78">
        <v>168.4</v>
      </c>
      <c r="D19" s="78">
        <v>11.35</v>
      </c>
      <c r="E19" s="78">
        <f t="shared" si="1"/>
        <v>14.837004405286345</v>
      </c>
      <c r="F19" s="79">
        <f t="shared" si="0"/>
        <v>6.7399049881235143E-2</v>
      </c>
    </row>
    <row r="20" spans="1:6" ht="15.75" thickBot="1">
      <c r="A20" s="82"/>
      <c r="B20" s="101"/>
      <c r="C20" s="101"/>
      <c r="D20" s="102"/>
      <c r="E20" s="102"/>
      <c r="F20" s="103"/>
    </row>
    <row r="21" spans="1:6" ht="15.75" thickTop="1">
      <c r="B21" s="3" t="s">
        <v>55</v>
      </c>
      <c r="C21" s="140" t="s">
        <v>570</v>
      </c>
      <c r="D21" s="140" t="s">
        <v>139</v>
      </c>
      <c r="E21" s="140" t="s">
        <v>140</v>
      </c>
      <c r="F21" s="136" t="s">
        <v>141</v>
      </c>
    </row>
    <row r="22" spans="1:6">
      <c r="B22" s="3" t="s">
        <v>57</v>
      </c>
      <c r="C22" s="188">
        <f>MEDIAN(C16:C19)</f>
        <v>111.47</v>
      </c>
      <c r="D22" s="188">
        <f>MEDIAN(D16:D19)</f>
        <v>16.774999999999999</v>
      </c>
      <c r="E22" s="188">
        <f>MEDIAN(E16:E19)</f>
        <v>8.2045136903627469</v>
      </c>
      <c r="F22" s="186">
        <f>MEDIAN(F16:F19)</f>
        <v>0.13967886499668875</v>
      </c>
    </row>
    <row r="23" spans="1:6">
      <c r="B23" s="3" t="s">
        <v>25</v>
      </c>
      <c r="C23" s="188">
        <f>AVERAGE(C16:C19)</f>
        <v>128.47499999999999</v>
      </c>
      <c r="D23" s="188">
        <f>AVERAGE(D16:D19)</f>
        <v>15.702500000000001</v>
      </c>
      <c r="E23" s="188">
        <f>AVERAGE(E16:E19)</f>
        <v>8.4256971356921486</v>
      </c>
      <c r="F23" s="186">
        <f>AVERAGE(F16:F19)</f>
        <v>0.18844937098625492</v>
      </c>
    </row>
    <row r="24" spans="1:6">
      <c r="B24" s="3"/>
      <c r="C24" s="99"/>
      <c r="D24" s="99"/>
      <c r="E24" s="99"/>
      <c r="F24" s="91"/>
    </row>
    <row r="25" spans="1:6" ht="21">
      <c r="B25" s="3"/>
      <c r="C25" s="99"/>
      <c r="D25" s="99"/>
      <c r="E25" s="105" t="s">
        <v>20</v>
      </c>
      <c r="F25" s="150">
        <v>0.13969999999999999</v>
      </c>
    </row>
    <row r="26" spans="1:6">
      <c r="B26" s="3"/>
      <c r="C26" s="106"/>
      <c r="D26" s="106"/>
      <c r="E26" s="106"/>
      <c r="F26" s="107"/>
    </row>
    <row r="28" spans="1:6">
      <c r="A28" s="189" t="s">
        <v>142</v>
      </c>
    </row>
    <row r="29" spans="1:6">
      <c r="A29" s="119" t="s">
        <v>125</v>
      </c>
      <c r="B29" s="3" t="s">
        <v>126</v>
      </c>
      <c r="C29" s="78">
        <v>31.34</v>
      </c>
      <c r="D29" s="78">
        <v>5.94</v>
      </c>
      <c r="E29" s="78">
        <f>C29/D29</f>
        <v>5.2760942760942759</v>
      </c>
      <c r="F29" s="79">
        <f>1/E29</f>
        <v>0.18953414167198468</v>
      </c>
    </row>
    <row r="30" spans="1:6">
      <c r="A30" s="22" t="s">
        <v>73</v>
      </c>
      <c r="B30" s="3" t="s">
        <v>44</v>
      </c>
      <c r="C30" s="78">
        <v>259.62</v>
      </c>
      <c r="D30" s="78">
        <v>23.32</v>
      </c>
      <c r="E30" s="78">
        <f t="shared" ref="E30:E31" si="2">C30/D30</f>
        <v>11.132933104631219</v>
      </c>
      <c r="F30" s="79">
        <f t="shared" ref="F30:F31" si="3">1/E30</f>
        <v>8.9823588321392797E-2</v>
      </c>
    </row>
    <row r="31" spans="1:6">
      <c r="A31" s="22" t="s">
        <v>89</v>
      </c>
      <c r="B31" s="3" t="s">
        <v>90</v>
      </c>
      <c r="C31" s="78">
        <v>168.4</v>
      </c>
      <c r="D31" s="78">
        <v>11.35</v>
      </c>
      <c r="E31" s="78">
        <f t="shared" si="2"/>
        <v>14.837004405286345</v>
      </c>
      <c r="F31" s="79">
        <f t="shared" si="3"/>
        <v>6.7399049881235143E-2</v>
      </c>
    </row>
    <row r="32" spans="1:6" ht="15.75" thickBot="1">
      <c r="A32" s="82"/>
      <c r="B32" s="101"/>
      <c r="C32" s="101"/>
      <c r="D32" s="102"/>
      <c r="E32" s="102"/>
      <c r="F32" s="103"/>
    </row>
    <row r="33" spans="2:6" ht="15.75" thickTop="1">
      <c r="B33" s="3" t="s">
        <v>55</v>
      </c>
      <c r="C33" s="140" t="s">
        <v>570</v>
      </c>
      <c r="D33" s="140" t="s">
        <v>139</v>
      </c>
      <c r="E33" s="140" t="s">
        <v>143</v>
      </c>
      <c r="F33" s="136" t="s">
        <v>144</v>
      </c>
    </row>
    <row r="34" spans="2:6">
      <c r="B34" s="3" t="s">
        <v>57</v>
      </c>
      <c r="C34" s="188">
        <f>MEDIAN(C29:C31)</f>
        <v>168.4</v>
      </c>
      <c r="D34" s="188">
        <f>MEDIAN(D29:D31)</f>
        <v>11.35</v>
      </c>
      <c r="E34" s="188">
        <f>MEDIAN(E29:E31)</f>
        <v>11.132933104631219</v>
      </c>
      <c r="F34" s="186">
        <f>MEDIAN(F29:F31)</f>
        <v>8.9823588321392797E-2</v>
      </c>
    </row>
    <row r="35" spans="2:6">
      <c r="B35" s="3" t="s">
        <v>25</v>
      </c>
      <c r="C35" s="188">
        <f>AVERAGE(C29:C31)</f>
        <v>153.12</v>
      </c>
      <c r="D35" s="188">
        <f>AVERAGE(D29:D31)</f>
        <v>13.536666666666667</v>
      </c>
      <c r="E35" s="188">
        <f>AVERAGE(E29:E31)</f>
        <v>10.415343928670614</v>
      </c>
      <c r="F35" s="186">
        <f>AVERAGE(F29:F31)</f>
        <v>0.11558559329153754</v>
      </c>
    </row>
    <row r="36" spans="2:6">
      <c r="B36" s="3"/>
      <c r="C36" s="99"/>
      <c r="D36" s="99"/>
      <c r="E36" s="99"/>
      <c r="F36" s="91"/>
    </row>
    <row r="37" spans="2:6" ht="21">
      <c r="B37" s="3"/>
      <c r="C37" s="99"/>
      <c r="D37" s="99"/>
      <c r="E37" s="105" t="s">
        <v>20</v>
      </c>
      <c r="F37" s="150">
        <v>8.9800000000000005E-2</v>
      </c>
    </row>
  </sheetData>
  <pageMargins left="0.25" right="0.25" top="0.75" bottom="0.75" header="0.3" footer="0.3"/>
  <pageSetup scale="72" orientation="portrait" r:id="rId1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F28"/>
  <sheetViews>
    <sheetView zoomScaleNormal="100" workbookViewId="0">
      <selection activeCell="F25" sqref="F25"/>
    </sheetView>
  </sheetViews>
  <sheetFormatPr defaultRowHeight="15"/>
  <cols>
    <col min="1" max="1" width="24.85546875" customWidth="1"/>
    <col min="2" max="2" width="13.28515625" bestFit="1" customWidth="1"/>
    <col min="3" max="3" width="28.5703125" customWidth="1"/>
    <col min="4" max="4" width="15.140625" customWidth="1"/>
    <col min="5" max="5" width="20.85546875" bestFit="1" customWidth="1"/>
    <col min="6" max="6" width="19.42578125" customWidth="1"/>
  </cols>
  <sheetData>
    <row r="1" spans="1:6" ht="21">
      <c r="C1" s="1" t="s">
        <v>0</v>
      </c>
    </row>
    <row r="2" spans="1:6" ht="15.75">
      <c r="C2" s="2" t="s">
        <v>1</v>
      </c>
    </row>
    <row r="3" spans="1:6">
      <c r="A3" s="198"/>
    </row>
    <row r="4" spans="1:6">
      <c r="C4" s="3" t="s">
        <v>2</v>
      </c>
    </row>
    <row r="5" spans="1:6">
      <c r="C5" s="3" t="s">
        <v>3</v>
      </c>
    </row>
    <row r="8" spans="1:6">
      <c r="D8" s="4"/>
    </row>
    <row r="10" spans="1:6" ht="15.75" thickBot="1">
      <c r="B10" s="5"/>
      <c r="C10" s="5"/>
      <c r="D10" s="5"/>
    </row>
    <row r="11" spans="1:6" ht="21">
      <c r="C11" s="6" t="s">
        <v>327</v>
      </c>
    </row>
    <row r="12" spans="1:6" ht="15.75" thickBot="1">
      <c r="B12" s="5"/>
      <c r="C12" s="7" t="s">
        <v>5</v>
      </c>
      <c r="D12" s="5"/>
    </row>
    <row r="13" spans="1:6" ht="15.75" thickBot="1">
      <c r="A13" s="5"/>
      <c r="B13" s="5"/>
      <c r="C13" s="7" t="s">
        <v>6</v>
      </c>
      <c r="D13" s="5"/>
      <c r="E13" s="5"/>
      <c r="F13" s="5"/>
    </row>
    <row r="14" spans="1:6">
      <c r="A14" s="8" t="s">
        <v>7</v>
      </c>
      <c r="B14" s="8" t="s">
        <v>8</v>
      </c>
      <c r="C14" s="8" t="s">
        <v>9</v>
      </c>
      <c r="D14" s="8" t="s">
        <v>10</v>
      </c>
      <c r="E14" s="8" t="s">
        <v>11</v>
      </c>
      <c r="F14" s="8" t="s">
        <v>12</v>
      </c>
    </row>
    <row r="15" spans="1:6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</row>
    <row r="16" spans="1:6">
      <c r="A16" s="9" t="s">
        <v>6</v>
      </c>
      <c r="B16" s="9" t="s">
        <v>6</v>
      </c>
      <c r="C16" s="9" t="s">
        <v>6</v>
      </c>
      <c r="D16" s="9" t="s">
        <v>6</v>
      </c>
      <c r="E16" s="9" t="s">
        <v>6</v>
      </c>
      <c r="F16" s="9" t="s">
        <v>6</v>
      </c>
    </row>
    <row r="17" spans="1:6">
      <c r="A17" s="8"/>
      <c r="B17" s="8"/>
      <c r="C17" s="8"/>
      <c r="D17" s="8"/>
      <c r="E17" s="8"/>
      <c r="F17" s="8"/>
    </row>
    <row r="18" spans="1:6" ht="15.75">
      <c r="A18" s="2" t="s">
        <v>17</v>
      </c>
      <c r="B18" s="16">
        <v>0.45</v>
      </c>
      <c r="C18" s="16">
        <v>0.1321</v>
      </c>
      <c r="D18" s="121" t="s">
        <v>134</v>
      </c>
      <c r="E18" s="155">
        <f>+C18</f>
        <v>0.1321</v>
      </c>
      <c r="F18" s="54">
        <f>+E18*B18</f>
        <v>5.9444999999999998E-2</v>
      </c>
    </row>
    <row r="19" spans="1:6" ht="15.75">
      <c r="A19" s="2" t="s">
        <v>6</v>
      </c>
      <c r="B19" s="45" t="s">
        <v>6</v>
      </c>
      <c r="C19" s="45" t="s">
        <v>6</v>
      </c>
      <c r="D19" s="121" t="s">
        <v>6</v>
      </c>
      <c r="E19" s="325" t="s">
        <v>6</v>
      </c>
      <c r="F19" s="54" t="s">
        <v>6</v>
      </c>
    </row>
    <row r="20" spans="1:6" ht="15.75">
      <c r="A20" s="2" t="s">
        <v>18</v>
      </c>
      <c r="B20" s="16">
        <v>0.55000000000000004</v>
      </c>
      <c r="C20" s="16">
        <v>3.2899999999999999E-2</v>
      </c>
      <c r="D20" s="16">
        <v>0.26</v>
      </c>
      <c r="E20" s="155">
        <f>+C20*(1-D20)</f>
        <v>2.4346E-2</v>
      </c>
      <c r="F20" s="54">
        <f>+B20*E20</f>
        <v>1.3390300000000001E-2</v>
      </c>
    </row>
    <row r="21" spans="1:6" ht="16.5" thickBot="1">
      <c r="A21" s="17" t="s">
        <v>6</v>
      </c>
      <c r="B21" s="125" t="s">
        <v>6</v>
      </c>
      <c r="C21" s="17" t="s">
        <v>6</v>
      </c>
      <c r="D21" s="17" t="s">
        <v>6</v>
      </c>
      <c r="E21" s="18" t="s">
        <v>6</v>
      </c>
      <c r="F21" s="130" t="s">
        <v>6</v>
      </c>
    </row>
    <row r="22" spans="1:6" ht="15.75">
      <c r="A22" s="2" t="s">
        <v>19</v>
      </c>
      <c r="B22" s="156">
        <f>+B18+B20</f>
        <v>1</v>
      </c>
      <c r="C22" s="2" t="s">
        <v>6</v>
      </c>
      <c r="D22" s="2" t="s">
        <v>6</v>
      </c>
      <c r="E22" s="15" t="s">
        <v>6</v>
      </c>
      <c r="F22" s="54">
        <f>+F18+F20</f>
        <v>7.2835299999999992E-2</v>
      </c>
    </row>
    <row r="23" spans="1:6" ht="15.75">
      <c r="A23" s="24"/>
      <c r="B23" s="24"/>
      <c r="C23" s="24"/>
      <c r="D23" s="24"/>
      <c r="E23" s="24"/>
      <c r="F23" s="157"/>
    </row>
    <row r="24" spans="1:6" ht="15.75">
      <c r="E24" s="15" t="s">
        <v>20</v>
      </c>
      <c r="F24" s="54">
        <v>7.2800000000000004E-2</v>
      </c>
    </row>
    <row r="25" spans="1:6">
      <c r="F25" t="s">
        <v>6</v>
      </c>
    </row>
    <row r="28" spans="1:6">
      <c r="B28" s="289"/>
      <c r="C28" s="289"/>
      <c r="D28" s="289"/>
    </row>
  </sheetData>
  <pageMargins left="0.25" right="0.25" top="0.75" bottom="0.75" header="0.3" footer="0.3"/>
  <pageSetup scale="83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M52"/>
  <sheetViews>
    <sheetView zoomScale="80" zoomScaleNormal="80" zoomScalePageLayoutView="70" workbookViewId="0">
      <pane xSplit="1" topLeftCell="B1" activePane="topRight" state="frozen"/>
      <selection activeCell="D9" sqref="D9"/>
      <selection pane="topRight" activeCell="F15" sqref="F15"/>
    </sheetView>
  </sheetViews>
  <sheetFormatPr defaultRowHeight="15"/>
  <cols>
    <col min="1" max="1" width="54.7109375" customWidth="1"/>
    <col min="2" max="2" width="10.85546875" bestFit="1" customWidth="1"/>
    <col min="3" max="3" width="33.28515625" customWidth="1"/>
    <col min="4" max="4" width="22.5703125" customWidth="1"/>
    <col min="5" max="5" width="25.140625" customWidth="1"/>
    <col min="6" max="6" width="28.140625" customWidth="1"/>
    <col min="7" max="7" width="24" customWidth="1"/>
    <col min="8" max="8" width="24.7109375" customWidth="1"/>
    <col min="9" max="9" width="25.28515625" customWidth="1"/>
    <col min="10" max="10" width="26.28515625" customWidth="1"/>
    <col min="11" max="11" width="28.140625" customWidth="1"/>
    <col min="12" max="12" width="23.42578125" bestFit="1" customWidth="1"/>
    <col min="13" max="13" width="30.140625" bestFit="1" customWidth="1"/>
    <col min="14" max="14" width="9.140625" customWidth="1"/>
  </cols>
  <sheetData>
    <row r="1" spans="1:12" ht="21">
      <c r="A1" s="326" t="s">
        <v>0</v>
      </c>
    </row>
    <row r="2" spans="1:12" ht="15.75">
      <c r="A2" s="24" t="s">
        <v>1</v>
      </c>
    </row>
    <row r="3" spans="1:12">
      <c r="A3" s="198" t="s">
        <v>2</v>
      </c>
    </row>
    <row r="4" spans="1:12">
      <c r="A4" s="198"/>
    </row>
    <row r="5" spans="1:12">
      <c r="E5" s="4"/>
      <c r="K5" t="s">
        <v>6</v>
      </c>
    </row>
    <row r="6" spans="1:12">
      <c r="A6" s="25" t="s">
        <v>21</v>
      </c>
    </row>
    <row r="7" spans="1:12">
      <c r="A7" s="25"/>
    </row>
    <row r="8" spans="1:12" ht="15.7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20.25">
      <c r="A9" s="31" t="s">
        <v>328</v>
      </c>
      <c r="B9" s="28"/>
      <c r="H9" s="28"/>
      <c r="I9" s="28"/>
      <c r="J9" s="28"/>
    </row>
    <row r="10" spans="1:12" ht="15.75" thickBot="1">
      <c r="A10" s="32" t="s">
        <v>6</v>
      </c>
      <c r="B10" s="33" t="s">
        <v>6</v>
      </c>
      <c r="C10" s="33" t="s">
        <v>6</v>
      </c>
      <c r="D10" s="33"/>
      <c r="E10" s="33"/>
      <c r="F10" s="33"/>
      <c r="G10" s="33" t="s">
        <v>6</v>
      </c>
      <c r="H10" s="34"/>
      <c r="I10" s="34"/>
      <c r="J10" s="34"/>
    </row>
    <row r="11" spans="1:12" ht="15.75">
      <c r="A11" s="117"/>
      <c r="B11" s="117"/>
      <c r="C11" s="290"/>
      <c r="D11" s="434"/>
      <c r="E11" s="290"/>
      <c r="F11" s="290"/>
      <c r="G11" s="290"/>
      <c r="H11" s="209" t="s">
        <v>23</v>
      </c>
      <c r="I11" s="291"/>
      <c r="J11" s="327"/>
    </row>
    <row r="12" spans="1:12" ht="15.75">
      <c r="A12" s="35"/>
      <c r="B12" s="35"/>
      <c r="C12" s="211"/>
      <c r="D12" s="435" t="s">
        <v>30</v>
      </c>
      <c r="E12" s="212" t="s">
        <v>30</v>
      </c>
      <c r="F12" s="212" t="s">
        <v>30</v>
      </c>
      <c r="G12" s="211"/>
      <c r="H12" s="36" t="s">
        <v>26</v>
      </c>
      <c r="I12" s="213" t="s">
        <v>23</v>
      </c>
      <c r="J12" s="328" t="s">
        <v>23</v>
      </c>
    </row>
    <row r="13" spans="1:12" ht="15.75">
      <c r="A13" s="35" t="s">
        <v>6</v>
      </c>
      <c r="B13" s="35" t="s">
        <v>27</v>
      </c>
      <c r="C13" s="211" t="s">
        <v>28</v>
      </c>
      <c r="D13" s="435" t="s">
        <v>29</v>
      </c>
      <c r="E13" s="212" t="s">
        <v>29</v>
      </c>
      <c r="F13" s="212" t="s">
        <v>25</v>
      </c>
      <c r="G13" s="213" t="s">
        <v>23</v>
      </c>
      <c r="H13" s="35" t="s">
        <v>31</v>
      </c>
      <c r="I13" s="211" t="s">
        <v>32</v>
      </c>
      <c r="J13" s="329" t="s">
        <v>47</v>
      </c>
    </row>
    <row r="14" spans="1:12" ht="16.5" thickBot="1">
      <c r="A14" s="38" t="s">
        <v>34</v>
      </c>
      <c r="B14" s="38" t="s">
        <v>35</v>
      </c>
      <c r="C14" s="217" t="s">
        <v>36</v>
      </c>
      <c r="D14" s="330" t="s">
        <v>37</v>
      </c>
      <c r="E14" s="217" t="s">
        <v>38</v>
      </c>
      <c r="F14" s="217" t="s">
        <v>29</v>
      </c>
      <c r="G14" s="217" t="s">
        <v>29</v>
      </c>
      <c r="H14" s="41" t="s">
        <v>39</v>
      </c>
      <c r="I14" s="217" t="s">
        <v>40</v>
      </c>
      <c r="J14" s="330" t="s">
        <v>40</v>
      </c>
    </row>
    <row r="15" spans="1:12" ht="15.75">
      <c r="A15" s="42" t="s">
        <v>41</v>
      </c>
      <c r="B15" s="42" t="s">
        <v>41</v>
      </c>
      <c r="C15" s="219" t="s">
        <v>41</v>
      </c>
      <c r="D15" s="331" t="s">
        <v>95</v>
      </c>
      <c r="E15" s="219" t="s">
        <v>95</v>
      </c>
      <c r="F15" s="219"/>
      <c r="G15" s="219" t="s">
        <v>41</v>
      </c>
      <c r="H15" s="42" t="s">
        <v>42</v>
      </c>
      <c r="I15" s="219" t="s">
        <v>42</v>
      </c>
      <c r="J15" s="331" t="s">
        <v>42</v>
      </c>
    </row>
    <row r="16" spans="1:12" ht="15.75">
      <c r="A16" s="35"/>
      <c r="B16" s="35"/>
      <c r="C16" s="211"/>
      <c r="D16" s="436"/>
      <c r="E16" s="211"/>
      <c r="F16" s="211"/>
      <c r="G16" s="211"/>
      <c r="H16" s="35"/>
      <c r="I16" s="221"/>
      <c r="J16" s="332"/>
    </row>
    <row r="17" spans="1:13" ht="15.75">
      <c r="A17" s="159" t="s">
        <v>329</v>
      </c>
      <c r="B17" s="80" t="s">
        <v>330</v>
      </c>
      <c r="C17" s="275" t="s">
        <v>331</v>
      </c>
      <c r="D17" s="437">
        <v>18.739999999999998</v>
      </c>
      <c r="E17" s="227">
        <v>18.05</v>
      </c>
      <c r="F17" s="227">
        <f t="shared" ref="F17:F26" si="0">AVERAGE(D17,E17)</f>
        <v>18.395</v>
      </c>
      <c r="G17" s="227">
        <v>18.52</v>
      </c>
      <c r="H17" s="229">
        <v>208351528</v>
      </c>
      <c r="I17" s="228">
        <v>778000000</v>
      </c>
      <c r="J17" s="333">
        <f>5119000000+505000000</f>
        <v>5624000000</v>
      </c>
    </row>
    <row r="18" spans="1:13" ht="15.75">
      <c r="A18" s="159" t="s">
        <v>332</v>
      </c>
      <c r="B18" s="80" t="s">
        <v>333</v>
      </c>
      <c r="C18" s="275" t="s">
        <v>331</v>
      </c>
      <c r="D18" s="437">
        <v>5.37</v>
      </c>
      <c r="E18" s="227">
        <v>5.18</v>
      </c>
      <c r="F18" s="227">
        <f t="shared" si="0"/>
        <v>5.2750000000000004</v>
      </c>
      <c r="G18" s="227">
        <v>5.26</v>
      </c>
      <c r="H18" s="229">
        <v>435549892</v>
      </c>
      <c r="I18" s="228">
        <v>14520000</v>
      </c>
      <c r="J18" s="333">
        <f>3951000000+250000000</f>
        <v>4201000000</v>
      </c>
    </row>
    <row r="19" spans="1:13" ht="15.75">
      <c r="A19" s="159" t="s">
        <v>334</v>
      </c>
      <c r="B19" s="80" t="s">
        <v>335</v>
      </c>
      <c r="C19" s="275" t="s">
        <v>336</v>
      </c>
      <c r="D19" s="437">
        <v>41.06</v>
      </c>
      <c r="E19" s="227">
        <v>40.67</v>
      </c>
      <c r="F19" s="227">
        <f t="shared" si="0"/>
        <v>40.865000000000002</v>
      </c>
      <c r="G19" s="227">
        <v>40.71</v>
      </c>
      <c r="H19" s="229">
        <v>2026000000</v>
      </c>
      <c r="I19" s="228">
        <f>(7747000000)*0.78555</f>
        <v>6085655850</v>
      </c>
      <c r="J19" s="333">
        <f>(62819000000+2957000000)*0.78555</f>
        <v>51670336800</v>
      </c>
    </row>
    <row r="20" spans="1:13" ht="15.75">
      <c r="A20" s="159" t="s">
        <v>371</v>
      </c>
      <c r="B20" s="80" t="s">
        <v>372</v>
      </c>
      <c r="C20" s="275" t="s">
        <v>331</v>
      </c>
      <c r="D20" s="46">
        <v>6.19</v>
      </c>
      <c r="E20" s="227">
        <v>6.06</v>
      </c>
      <c r="F20" s="46">
        <f t="shared" si="0"/>
        <v>6.125</v>
      </c>
      <c r="G20" s="227">
        <v>6.18</v>
      </c>
      <c r="H20" s="47">
        <v>2702372154</v>
      </c>
      <c r="I20" s="228">
        <v>0</v>
      </c>
      <c r="J20" s="228">
        <f>(51438)*1000000</f>
        <v>51438000000</v>
      </c>
    </row>
    <row r="21" spans="1:13" ht="15.75">
      <c r="A21" s="159" t="s">
        <v>337</v>
      </c>
      <c r="B21" s="80" t="s">
        <v>338</v>
      </c>
      <c r="C21" s="275" t="s">
        <v>336</v>
      </c>
      <c r="D21" s="437">
        <v>3.77</v>
      </c>
      <c r="E21" s="227">
        <v>3.58</v>
      </c>
      <c r="F21" s="227">
        <f t="shared" si="0"/>
        <v>3.6749999999999998</v>
      </c>
      <c r="G21" s="227">
        <v>3.71</v>
      </c>
      <c r="H21" s="229">
        <v>489381149</v>
      </c>
      <c r="I21" s="228">
        <f>1719500000</f>
        <v>1719500000</v>
      </c>
      <c r="J21" s="333">
        <f>4244000000+349800000</f>
        <v>4593800000</v>
      </c>
    </row>
    <row r="22" spans="1:13" s="144" customFormat="1" ht="15.75">
      <c r="A22" s="159" t="s">
        <v>339</v>
      </c>
      <c r="B22" s="197" t="s">
        <v>340</v>
      </c>
      <c r="C22" s="275" t="s">
        <v>331</v>
      </c>
      <c r="D22" s="437">
        <v>19.71</v>
      </c>
      <c r="E22" s="227">
        <v>19.38</v>
      </c>
      <c r="F22" s="227">
        <f>AVERAGE(D22,E22)</f>
        <v>19.545000000000002</v>
      </c>
      <c r="G22" s="227">
        <v>19.59</v>
      </c>
      <c r="H22" s="334">
        <v>2182308958</v>
      </c>
      <c r="I22" s="228">
        <v>0</v>
      </c>
      <c r="J22" s="335">
        <f>28540700000+1325000000</f>
        <v>29865700000</v>
      </c>
      <c r="K22"/>
      <c r="L22"/>
    </row>
    <row r="23" spans="1:13" ht="15.75">
      <c r="A23" s="159" t="s">
        <v>341</v>
      </c>
      <c r="B23" s="197" t="s">
        <v>342</v>
      </c>
      <c r="C23" s="275" t="s">
        <v>336</v>
      </c>
      <c r="D23" s="437">
        <v>13.72</v>
      </c>
      <c r="E23" s="227">
        <v>13.47</v>
      </c>
      <c r="F23" s="227">
        <f>AVERAGE(D23,E23)</f>
        <v>13.595000000000001</v>
      </c>
      <c r="G23" s="227">
        <v>13.67</v>
      </c>
      <c r="H23" s="229">
        <v>2264257336</v>
      </c>
      <c r="I23" s="228">
        <v>0</v>
      </c>
      <c r="J23" s="333">
        <v>32131000000</v>
      </c>
    </row>
    <row r="24" spans="1:13" ht="15.75">
      <c r="A24" s="159" t="s">
        <v>343</v>
      </c>
      <c r="B24" s="197" t="s">
        <v>344</v>
      </c>
      <c r="C24" s="275" t="s">
        <v>336</v>
      </c>
      <c r="D24" s="437">
        <v>38.47</v>
      </c>
      <c r="E24" s="227">
        <v>37.659999999999997</v>
      </c>
      <c r="F24" s="227">
        <f t="shared" si="0"/>
        <v>38.064999999999998</v>
      </c>
      <c r="G24" s="227">
        <v>38.380000000000003</v>
      </c>
      <c r="H24" s="229">
        <f>444872383-30043851</f>
        <v>414828532</v>
      </c>
      <c r="I24" s="228">
        <v>0</v>
      </c>
      <c r="J24" s="333">
        <f>(14228421+7650)*1000</f>
        <v>14236071000</v>
      </c>
    </row>
    <row r="25" spans="1:13" ht="15.75">
      <c r="A25" s="159" t="s">
        <v>345</v>
      </c>
      <c r="B25" s="197" t="s">
        <v>346</v>
      </c>
      <c r="C25" s="275" t="s">
        <v>336</v>
      </c>
      <c r="D25" s="437">
        <v>41.12</v>
      </c>
      <c r="E25" s="227">
        <v>40.11</v>
      </c>
      <c r="F25" s="227">
        <f>AVERAGE(D25,E25)</f>
        <v>40.614999999999995</v>
      </c>
      <c r="G25" s="227">
        <v>40.72</v>
      </c>
      <c r="H25" s="229">
        <v>940064000</v>
      </c>
      <c r="I25" s="228">
        <f>3980000000/0.78555</f>
        <v>5066513907.4533768</v>
      </c>
      <c r="J25" s="333">
        <f>(34913000000+8498000000+1972000000)*0.78555</f>
        <v>35650615650</v>
      </c>
    </row>
    <row r="26" spans="1:13" ht="15.75">
      <c r="A26" s="159" t="s">
        <v>347</v>
      </c>
      <c r="B26" s="197" t="s">
        <v>348</v>
      </c>
      <c r="C26" s="275" t="s">
        <v>336</v>
      </c>
      <c r="D26" s="437">
        <v>20.11</v>
      </c>
      <c r="E26" s="227">
        <v>19.850000000000001</v>
      </c>
      <c r="F26" s="227">
        <f t="shared" si="0"/>
        <v>19.98</v>
      </c>
      <c r="G26" s="227">
        <v>20.05</v>
      </c>
      <c r="H26" s="229">
        <f>1248000000-35000000</f>
        <v>1213000000</v>
      </c>
      <c r="I26" s="228">
        <v>35000000</v>
      </c>
      <c r="J26" s="333">
        <f>(21451+893)*1000000</f>
        <v>22344000000</v>
      </c>
      <c r="M26" t="s">
        <v>6</v>
      </c>
    </row>
    <row r="27" spans="1:13" ht="16.5" thickBot="1">
      <c r="A27" s="48"/>
      <c r="B27" s="48"/>
      <c r="C27" s="336"/>
      <c r="D27" s="337"/>
      <c r="E27" s="336"/>
      <c r="F27" s="336"/>
      <c r="G27" s="336"/>
      <c r="H27" s="48"/>
      <c r="I27" s="336"/>
      <c r="J27" s="337"/>
    </row>
    <row r="28" spans="1:13" ht="15.75">
      <c r="A28" s="49"/>
      <c r="B28" s="49"/>
      <c r="C28" s="49"/>
      <c r="D28" s="49"/>
      <c r="E28" s="49"/>
      <c r="F28" s="49"/>
      <c r="G28" s="49"/>
      <c r="H28" s="49"/>
      <c r="I28" s="49"/>
      <c r="J28" s="49"/>
    </row>
    <row r="29" spans="1:13" ht="15.75">
      <c r="A29" s="50" t="s">
        <v>6</v>
      </c>
      <c r="B29" s="49"/>
      <c r="C29" s="49"/>
      <c r="D29" s="49"/>
      <c r="E29" s="49"/>
      <c r="F29" s="49"/>
      <c r="G29" s="49"/>
      <c r="H29" s="49"/>
      <c r="I29" s="49"/>
      <c r="J29" s="49" t="s">
        <v>6</v>
      </c>
      <c r="K29" s="49"/>
      <c r="L29" s="49"/>
    </row>
    <row r="30" spans="1:13" ht="15.75">
      <c r="A30" s="35"/>
      <c r="B30" s="35"/>
      <c r="C30" s="35"/>
      <c r="D30" s="36" t="s">
        <v>23</v>
      </c>
      <c r="E30" s="36" t="s">
        <v>23</v>
      </c>
      <c r="G30" s="36" t="s">
        <v>23</v>
      </c>
      <c r="H30" s="36" t="s">
        <v>23</v>
      </c>
      <c r="I30" s="36" t="s">
        <v>23</v>
      </c>
      <c r="J30" s="36" t="s">
        <v>23</v>
      </c>
      <c r="K30" t="s">
        <v>6</v>
      </c>
      <c r="L30" s="49" t="s">
        <v>6</v>
      </c>
    </row>
    <row r="31" spans="1:13" ht="15.75">
      <c r="A31" s="35" t="s">
        <v>6</v>
      </c>
      <c r="B31" s="35" t="s">
        <v>27</v>
      </c>
      <c r="C31" s="35" t="s">
        <v>28</v>
      </c>
      <c r="D31" s="35" t="s">
        <v>26</v>
      </c>
      <c r="E31" s="35" t="s">
        <v>32</v>
      </c>
      <c r="G31" s="37" t="s">
        <v>201</v>
      </c>
      <c r="H31" s="37" t="s">
        <v>48</v>
      </c>
      <c r="I31" s="37" t="s">
        <v>49</v>
      </c>
      <c r="J31" s="37" t="s">
        <v>202</v>
      </c>
      <c r="K31" t="s">
        <v>6</v>
      </c>
      <c r="L31" s="49" t="s">
        <v>6</v>
      </c>
    </row>
    <row r="32" spans="1:13" ht="16.5" thickBot="1">
      <c r="A32" s="38" t="s">
        <v>34</v>
      </c>
      <c r="B32" s="38" t="s">
        <v>35</v>
      </c>
      <c r="C32" s="38" t="s">
        <v>36</v>
      </c>
      <c r="D32" s="38" t="s">
        <v>51</v>
      </c>
      <c r="E32" s="38" t="s">
        <v>51</v>
      </c>
      <c r="G32" s="38" t="s">
        <v>51</v>
      </c>
      <c r="H32" s="38" t="s">
        <v>52</v>
      </c>
      <c r="I32" s="38" t="s">
        <v>6</v>
      </c>
      <c r="J32" s="38" t="s">
        <v>6</v>
      </c>
      <c r="K32" t="s">
        <v>6</v>
      </c>
      <c r="L32" s="49" t="s">
        <v>6</v>
      </c>
    </row>
    <row r="33" spans="1:12" ht="15.75">
      <c r="A33" s="42" t="s">
        <v>41</v>
      </c>
      <c r="B33" s="42" t="s">
        <v>41</v>
      </c>
      <c r="C33" s="42" t="s">
        <v>41</v>
      </c>
      <c r="D33" s="42" t="s">
        <v>53</v>
      </c>
      <c r="E33" s="42" t="s">
        <v>42</v>
      </c>
      <c r="G33" s="42" t="s">
        <v>42</v>
      </c>
      <c r="H33" s="42" t="s">
        <v>53</v>
      </c>
      <c r="I33" s="42" t="s">
        <v>53</v>
      </c>
      <c r="J33" s="42" t="s">
        <v>53</v>
      </c>
      <c r="K33" t="s">
        <v>6</v>
      </c>
      <c r="L33" s="49" t="s">
        <v>6</v>
      </c>
    </row>
    <row r="34" spans="1:12" ht="15.75">
      <c r="A34" s="35"/>
      <c r="B34" s="35"/>
      <c r="C34" s="35"/>
      <c r="D34" s="35"/>
      <c r="E34" s="35"/>
      <c r="G34" s="35"/>
      <c r="H34" s="35"/>
      <c r="I34" s="35"/>
      <c r="J34" s="35"/>
      <c r="K34" t="s">
        <v>6</v>
      </c>
      <c r="L34" s="49" t="s">
        <v>6</v>
      </c>
    </row>
    <row r="35" spans="1:12" ht="15.75">
      <c r="A35" s="338" t="str">
        <f t="shared" ref="A35:C44" si="1">+A17</f>
        <v>DCP Midstream LP</v>
      </c>
      <c r="B35" s="224" t="str">
        <f t="shared" si="1"/>
        <v>DCP</v>
      </c>
      <c r="C35" s="224" t="str">
        <f t="shared" si="1"/>
        <v>Pipeline MLPs</v>
      </c>
      <c r="D35" s="145">
        <f t="shared" ref="D35:D44" si="2">(+H17)*G17</f>
        <v>3858670298.5599999</v>
      </c>
      <c r="E35" s="52">
        <f>(1/1)*I17</f>
        <v>778000000</v>
      </c>
      <c r="G35" s="47">
        <f>(5938/5635)*J17</f>
        <v>5926408518.1898842</v>
      </c>
      <c r="H35" s="232">
        <f t="shared" ref="H35:H44" si="3">+D35+E35+F35+G35</f>
        <v>10563078816.749884</v>
      </c>
      <c r="I35" s="54">
        <f t="shared" ref="I35:I44" si="4">(+D35)/H35</f>
        <v>0.3652978800500194</v>
      </c>
      <c r="J35" s="54">
        <f t="shared" ref="J35:J44" si="5">(+E35+F35+G35)/H35</f>
        <v>0.6347021199499806</v>
      </c>
      <c r="K35" t="s">
        <v>6</v>
      </c>
      <c r="L35" t="s">
        <v>6</v>
      </c>
    </row>
    <row r="36" spans="1:12" ht="15.75">
      <c r="A36" s="338" t="str">
        <f t="shared" si="1"/>
        <v>Enable Midstream Partners LP</v>
      </c>
      <c r="B36" s="224" t="str">
        <f t="shared" si="1"/>
        <v>ENBL</v>
      </c>
      <c r="C36" s="224" t="str">
        <f t="shared" si="1"/>
        <v>Pipeline MLPs</v>
      </c>
      <c r="D36" s="145">
        <f t="shared" si="2"/>
        <v>2290992431.9200001</v>
      </c>
      <c r="E36" s="52">
        <f>(390/399)*I18</f>
        <v>14192481.203007517</v>
      </c>
      <c r="G36" s="47">
        <f>((800+612+709+817+544+499)/(800+600+698+795+546+531))*J18</f>
        <v>4212640050.3778338</v>
      </c>
      <c r="H36" s="232">
        <f t="shared" si="3"/>
        <v>6517824963.5008411</v>
      </c>
      <c r="I36" s="54">
        <f t="shared" si="4"/>
        <v>0.35149646465643453</v>
      </c>
      <c r="J36" s="54">
        <f t="shared" si="5"/>
        <v>0.64850353534356553</v>
      </c>
    </row>
    <row r="37" spans="1:12" ht="15.75">
      <c r="A37" s="338" t="str">
        <f t="shared" si="1"/>
        <v>Enbridge Inc</v>
      </c>
      <c r="B37" s="224" t="str">
        <f t="shared" si="1"/>
        <v>ENB.TO</v>
      </c>
      <c r="C37" s="224" t="str">
        <f t="shared" si="1"/>
        <v>Oil &amp; Gas Distribution</v>
      </c>
      <c r="D37" s="52">
        <f t="shared" si="2"/>
        <v>82478460000</v>
      </c>
      <c r="E37" s="52">
        <f>(1/1)*I19</f>
        <v>6085655850</v>
      </c>
      <c r="G37" s="47">
        <f>(75.1/66.1)*J19</f>
        <v>58705632279.576401</v>
      </c>
      <c r="H37" s="232">
        <f t="shared" si="3"/>
        <v>147269748129.57642</v>
      </c>
      <c r="I37" s="54">
        <f t="shared" si="4"/>
        <v>0.56005025504240491</v>
      </c>
      <c r="J37" s="54">
        <f t="shared" si="5"/>
        <v>0.43994974495759503</v>
      </c>
      <c r="L37" s="49"/>
    </row>
    <row r="38" spans="1:12" ht="15.75">
      <c r="A38" s="338" t="str">
        <f t="shared" si="1"/>
        <v>Energy Transfer LP</v>
      </c>
      <c r="B38" s="224" t="str">
        <f t="shared" si="1"/>
        <v>ET</v>
      </c>
      <c r="C38" s="224" t="str">
        <f t="shared" si="1"/>
        <v>Pipeline MLPs</v>
      </c>
      <c r="D38" s="52">
        <f t="shared" si="2"/>
        <v>16700659911.719999</v>
      </c>
      <c r="E38" s="52">
        <f>(1/1)*I20</f>
        <v>0</v>
      </c>
      <c r="G38" s="47">
        <f>(56.21/51.44)*J20</f>
        <v>56207814541.213074</v>
      </c>
      <c r="H38" s="232">
        <f t="shared" si="3"/>
        <v>72908474452.933075</v>
      </c>
      <c r="I38" s="54">
        <f t="shared" ref="I38" si="6">(+D38)/H38</f>
        <v>0.22906335699701558</v>
      </c>
      <c r="J38" s="54">
        <f t="shared" ref="J38" si="7">(+E38+F38+G38)/H38</f>
        <v>0.77093664300298437</v>
      </c>
      <c r="L38" s="49"/>
    </row>
    <row r="39" spans="1:12" ht="15.75">
      <c r="A39" s="338" t="str">
        <f t="shared" si="1"/>
        <v>Enlink Midstream LLC</v>
      </c>
      <c r="B39" s="224" t="str">
        <f t="shared" si="1"/>
        <v>ENLC</v>
      </c>
      <c r="C39" s="224" t="str">
        <f t="shared" si="1"/>
        <v>Oil &amp; Gas Distribution</v>
      </c>
      <c r="D39" s="52">
        <f t="shared" si="2"/>
        <v>1815604062.79</v>
      </c>
      <c r="E39" s="52">
        <f t="shared" ref="E39:E44" si="8">(1/1)*I21</f>
        <v>1719500000</v>
      </c>
      <c r="G39" s="47">
        <f>(4318.2/4593.8)*J21</f>
        <v>4318200000</v>
      </c>
      <c r="H39" s="232">
        <f t="shared" si="3"/>
        <v>7853304062.79</v>
      </c>
      <c r="I39" s="54">
        <f t="shared" si="4"/>
        <v>0.23118983402063517</v>
      </c>
      <c r="J39" s="54">
        <f t="shared" si="5"/>
        <v>0.7688101659793648</v>
      </c>
      <c r="L39" s="49"/>
    </row>
    <row r="40" spans="1:12" ht="15.75">
      <c r="A40" s="338" t="str">
        <f t="shared" si="1"/>
        <v>Enterprise Products Partnership LP</v>
      </c>
      <c r="B40" s="224" t="str">
        <f t="shared" si="1"/>
        <v>EPD</v>
      </c>
      <c r="C40" s="224" t="str">
        <f t="shared" si="1"/>
        <v>Pipeline MLPs</v>
      </c>
      <c r="D40" s="145">
        <f t="shared" si="2"/>
        <v>42751432487.220001</v>
      </c>
      <c r="E40" s="52">
        <f t="shared" si="8"/>
        <v>0</v>
      </c>
      <c r="G40" s="47">
        <f>(35/29.9)*J22</f>
        <v>34959849498.327759</v>
      </c>
      <c r="H40" s="232">
        <f t="shared" si="3"/>
        <v>77711281985.54776</v>
      </c>
      <c r="I40" s="54">
        <f t="shared" si="4"/>
        <v>0.5501316075981173</v>
      </c>
      <c r="J40" s="54">
        <f t="shared" si="5"/>
        <v>0.4498683924018827</v>
      </c>
      <c r="K40" t="s">
        <v>6</v>
      </c>
      <c r="L40" s="49"/>
    </row>
    <row r="41" spans="1:12" ht="15.75">
      <c r="A41" s="338" t="str">
        <f t="shared" si="1"/>
        <v>Kinder Morgan Inc</v>
      </c>
      <c r="B41" s="224" t="str">
        <f t="shared" si="1"/>
        <v>KMI</v>
      </c>
      <c r="C41" s="224" t="str">
        <f t="shared" si="1"/>
        <v>Oil &amp; Gas Distribution</v>
      </c>
      <c r="D41" s="145">
        <f t="shared" si="2"/>
        <v>30952397783.119999</v>
      </c>
      <c r="E41" s="52">
        <f t="shared" si="8"/>
        <v>0</v>
      </c>
      <c r="G41" s="47">
        <f>(39622/34689)*J23</f>
        <v>36700235867.277809</v>
      </c>
      <c r="H41" s="232">
        <f t="shared" si="3"/>
        <v>67652633650.397812</v>
      </c>
      <c r="I41" s="54">
        <f t="shared" si="4"/>
        <v>0.4575194802181658</v>
      </c>
      <c r="J41" s="54">
        <f t="shared" si="5"/>
        <v>0.5424805197818342</v>
      </c>
      <c r="L41" s="49"/>
    </row>
    <row r="42" spans="1:12" ht="15.75">
      <c r="A42" s="338" t="str">
        <f t="shared" si="1"/>
        <v>ONEOK Inc</v>
      </c>
      <c r="B42" s="224" t="str">
        <f t="shared" si="1"/>
        <v>OKE</v>
      </c>
      <c r="C42" s="224" t="str">
        <f t="shared" si="1"/>
        <v>Oil &amp; Gas Distribution</v>
      </c>
      <c r="D42" s="145">
        <f t="shared" si="2"/>
        <v>15921119058.160002</v>
      </c>
      <c r="E42" s="52">
        <f t="shared" si="8"/>
        <v>0</v>
      </c>
      <c r="G42" s="47">
        <f>(16.3/14.2)*J24</f>
        <v>16341405443.661972</v>
      </c>
      <c r="H42" s="232">
        <f t="shared" si="3"/>
        <v>32262524501.821976</v>
      </c>
      <c r="I42" s="54">
        <f t="shared" si="4"/>
        <v>0.493486461583652</v>
      </c>
      <c r="J42" s="54">
        <f t="shared" si="5"/>
        <v>0.50651353841634794</v>
      </c>
      <c r="L42" s="49"/>
    </row>
    <row r="43" spans="1:12" ht="15.75">
      <c r="A43" s="338" t="str">
        <f t="shared" si="1"/>
        <v>TC Energy Corp</v>
      </c>
      <c r="B43" s="224" t="str">
        <f t="shared" si="1"/>
        <v>TRP</v>
      </c>
      <c r="C43" s="224" t="str">
        <f t="shared" si="1"/>
        <v>Oil &amp; Gas Distribution</v>
      </c>
      <c r="D43" s="52">
        <f t="shared" si="2"/>
        <v>38279406080</v>
      </c>
      <c r="E43" s="52">
        <f t="shared" si="8"/>
        <v>5066513907.4533768</v>
      </c>
      <c r="G43" s="47">
        <f>(54962/45383)*J25</f>
        <v>43175399100</v>
      </c>
      <c r="H43" s="232">
        <f t="shared" si="3"/>
        <v>86521319087.453369</v>
      </c>
      <c r="I43" s="54">
        <f t="shared" si="4"/>
        <v>0.44242744428466502</v>
      </c>
      <c r="J43" s="54">
        <f t="shared" si="5"/>
        <v>0.55757255571533504</v>
      </c>
      <c r="K43" t="s">
        <v>6</v>
      </c>
      <c r="L43" s="49"/>
    </row>
    <row r="44" spans="1:12" ht="15.75">
      <c r="A44" s="338" t="str">
        <f t="shared" si="1"/>
        <v>William Companys Inc</v>
      </c>
      <c r="B44" s="224" t="str">
        <f t="shared" si="1"/>
        <v>WMB</v>
      </c>
      <c r="C44" s="224" t="str">
        <f t="shared" si="1"/>
        <v>Oil &amp; Gas Distribution</v>
      </c>
      <c r="D44" s="145">
        <f t="shared" si="2"/>
        <v>24320650000</v>
      </c>
      <c r="E44" s="52">
        <f t="shared" si="8"/>
        <v>35000000</v>
      </c>
      <c r="G44" s="47">
        <f>(27043/22344)*J26</f>
        <v>27043000000</v>
      </c>
      <c r="H44" s="232">
        <f t="shared" si="3"/>
        <v>51398650000</v>
      </c>
      <c r="I44" s="54">
        <f t="shared" si="4"/>
        <v>0.47317682468313854</v>
      </c>
      <c r="J44" s="54">
        <f t="shared" si="5"/>
        <v>0.5268231753168614</v>
      </c>
      <c r="L44" s="49"/>
    </row>
    <row r="45" spans="1:12" ht="16.5" thickBot="1">
      <c r="A45" s="48"/>
      <c r="B45" s="48"/>
      <c r="C45" s="48"/>
      <c r="D45" s="48"/>
      <c r="E45" s="48"/>
      <c r="G45" s="48"/>
      <c r="H45" s="48"/>
      <c r="I45" s="48"/>
      <c r="J45" s="48"/>
      <c r="L45" s="49"/>
    </row>
    <row r="46" spans="1:12">
      <c r="A46" t="s">
        <v>242</v>
      </c>
    </row>
    <row r="47" spans="1:12" ht="15.75">
      <c r="A47" s="339"/>
      <c r="C47" s="132" t="s">
        <v>6</v>
      </c>
      <c r="D47" s="87" t="s">
        <v>6</v>
      </c>
      <c r="G47" s="87" t="s">
        <v>6</v>
      </c>
      <c r="H47" s="58" t="s">
        <v>55</v>
      </c>
      <c r="I47" s="194" t="s">
        <v>349</v>
      </c>
      <c r="J47" s="194" t="s">
        <v>350</v>
      </c>
    </row>
    <row r="48" spans="1:12" ht="15.75">
      <c r="C48" s="132" t="s">
        <v>6</v>
      </c>
      <c r="D48" s="133" t="s">
        <v>6</v>
      </c>
      <c r="E48" s="73" t="s">
        <v>6</v>
      </c>
      <c r="G48" s="22" t="s">
        <v>6</v>
      </c>
      <c r="H48" s="58" t="s">
        <v>57</v>
      </c>
      <c r="I48" s="54">
        <f>MEDIAN(I35:I44)</f>
        <v>0.44997346225141543</v>
      </c>
      <c r="J48" s="54">
        <f>MEDIAN(J35:J44)</f>
        <v>0.55002653774858468</v>
      </c>
    </row>
    <row r="49" spans="3:11" ht="15.75">
      <c r="C49" s="132" t="s">
        <v>6</v>
      </c>
      <c r="D49" s="133" t="s">
        <v>6</v>
      </c>
      <c r="E49" s="73" t="s">
        <v>6</v>
      </c>
      <c r="G49" s="22" t="s">
        <v>6</v>
      </c>
      <c r="H49" s="58" t="s">
        <v>25</v>
      </c>
      <c r="I49" s="54">
        <f>AVERAGE(I35:I44)</f>
        <v>0.41538396091342478</v>
      </c>
      <c r="J49" s="54">
        <f>AVERAGE(J35:J44)</f>
        <v>0.58461603908657511</v>
      </c>
    </row>
    <row r="50" spans="3:11" ht="15.75">
      <c r="E50" s="73" t="s">
        <v>6</v>
      </c>
      <c r="G50" t="s">
        <v>6</v>
      </c>
      <c r="H50" s="24"/>
      <c r="I50" s="24"/>
      <c r="J50" s="157"/>
    </row>
    <row r="51" spans="3:11" ht="21">
      <c r="G51" t="s">
        <v>6</v>
      </c>
      <c r="H51" s="61" t="s">
        <v>20</v>
      </c>
      <c r="I51" s="340">
        <v>0.45</v>
      </c>
      <c r="J51" s="340">
        <v>0.55000000000000004</v>
      </c>
    </row>
    <row r="52" spans="3:11" ht="15.75">
      <c r="G52" s="341" t="s">
        <v>6</v>
      </c>
      <c r="H52" s="24"/>
      <c r="I52" s="24"/>
      <c r="K52" s="24"/>
    </row>
  </sheetData>
  <pageMargins left="0.25" right="0.25" top="0.75" bottom="0.75" header="0.3" footer="0.3"/>
  <pageSetup scale="32" orientation="portrait" r:id="rId1"/>
  <rowBreaks count="1" manualBreakCount="1">
    <brk id="52" max="10" man="1"/>
  </rowBreaks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J26"/>
  <sheetViews>
    <sheetView zoomScaleNormal="100" workbookViewId="0">
      <selection activeCell="E25" sqref="E25"/>
    </sheetView>
  </sheetViews>
  <sheetFormatPr defaultRowHeight="15"/>
  <cols>
    <col min="1" max="1" width="45.140625" customWidth="1"/>
    <col min="2" max="2" width="10.85546875" bestFit="1" customWidth="1"/>
    <col min="3" max="3" width="25" customWidth="1"/>
    <col min="4" max="4" width="13.85546875" customWidth="1"/>
    <col min="5" max="5" width="14.85546875" customWidth="1"/>
    <col min="6" max="6" width="13" customWidth="1"/>
    <col min="7" max="7" width="12.140625" customWidth="1"/>
    <col min="8" max="8" width="22.140625" customWidth="1"/>
    <col min="9" max="9" width="16.140625" customWidth="1"/>
    <col min="10" max="10" width="16.7109375" customWidth="1"/>
  </cols>
  <sheetData>
    <row r="1" spans="1:9" ht="21">
      <c r="A1" s="23" t="s">
        <v>0</v>
      </c>
    </row>
    <row r="2" spans="1:9" ht="15.75">
      <c r="A2" s="24" t="s">
        <v>1</v>
      </c>
    </row>
    <row r="3" spans="1:9">
      <c r="A3" s="198" t="s">
        <v>2</v>
      </c>
    </row>
    <row r="4" spans="1:9">
      <c r="F4" s="4" t="s">
        <v>6</v>
      </c>
    </row>
    <row r="5" spans="1:9" ht="15.75">
      <c r="A5" s="76" t="s">
        <v>328</v>
      </c>
    </row>
    <row r="6" spans="1:9" ht="15.75" thickBot="1">
      <c r="A6" s="77" t="s">
        <v>6</v>
      </c>
      <c r="B6" s="77" t="s">
        <v>6</v>
      </c>
      <c r="C6" s="77" t="s">
        <v>6</v>
      </c>
      <c r="D6" s="77"/>
      <c r="E6" s="77"/>
      <c r="F6" s="77" t="s">
        <v>6</v>
      </c>
      <c r="G6" s="77" t="s">
        <v>6</v>
      </c>
      <c r="H6" s="77" t="s">
        <v>6</v>
      </c>
      <c r="I6" s="5"/>
    </row>
    <row r="7" spans="1:9">
      <c r="A7" s="8" t="s">
        <v>6</v>
      </c>
      <c r="B7" s="8" t="s">
        <v>27</v>
      </c>
      <c r="C7" s="8" t="s">
        <v>28</v>
      </c>
      <c r="D7" s="8" t="s">
        <v>63</v>
      </c>
      <c r="E7" s="8" t="s">
        <v>64</v>
      </c>
      <c r="F7" s="8" t="s">
        <v>65</v>
      </c>
      <c r="G7" s="8" t="s">
        <v>66</v>
      </c>
      <c r="H7" s="8" t="s">
        <v>67</v>
      </c>
      <c r="I7" s="120" t="s">
        <v>68</v>
      </c>
    </row>
    <row r="8" spans="1:9" ht="15.75" thickBot="1">
      <c r="A8" s="7" t="s">
        <v>34</v>
      </c>
      <c r="B8" s="7" t="s">
        <v>35</v>
      </c>
      <c r="C8" s="7" t="s">
        <v>36</v>
      </c>
      <c r="D8" s="7"/>
      <c r="E8" s="7" t="s">
        <v>69</v>
      </c>
      <c r="F8" s="7" t="s">
        <v>70</v>
      </c>
      <c r="G8" s="7" t="s">
        <v>71</v>
      </c>
      <c r="H8" s="7" t="s">
        <v>71</v>
      </c>
      <c r="I8" s="124" t="s">
        <v>72</v>
      </c>
    </row>
    <row r="9" spans="1:9">
      <c r="A9" s="9" t="s">
        <v>41</v>
      </c>
      <c r="B9" s="9" t="s">
        <v>41</v>
      </c>
      <c r="C9" s="9" t="s">
        <v>41</v>
      </c>
      <c r="D9" s="9" t="s">
        <v>41</v>
      </c>
      <c r="E9" s="9" t="s">
        <v>41</v>
      </c>
      <c r="F9" s="9" t="s">
        <v>41</v>
      </c>
      <c r="G9" s="9" t="s">
        <v>66</v>
      </c>
      <c r="H9" s="304" t="s">
        <v>68</v>
      </c>
      <c r="I9" s="304" t="s">
        <v>68</v>
      </c>
    </row>
    <row r="10" spans="1:9">
      <c r="A10" s="342"/>
      <c r="B10" s="342"/>
      <c r="C10" s="342"/>
      <c r="D10" s="342"/>
      <c r="E10" s="342"/>
      <c r="F10" s="342"/>
      <c r="G10" s="342"/>
      <c r="H10" s="342"/>
      <c r="I10" s="342"/>
    </row>
    <row r="11" spans="1:9" ht="15.75">
      <c r="A11" s="159" t="s">
        <v>329</v>
      </c>
      <c r="B11" s="80" t="s">
        <v>330</v>
      </c>
      <c r="C11" s="121" t="s">
        <v>331</v>
      </c>
      <c r="D11" s="343">
        <v>1.6</v>
      </c>
      <c r="E11" s="344">
        <v>0</v>
      </c>
      <c r="F11" s="345" t="s">
        <v>103</v>
      </c>
      <c r="G11" s="346"/>
      <c r="H11" s="345" t="s">
        <v>562</v>
      </c>
      <c r="I11" s="347">
        <v>7.4700000000000003E-2</v>
      </c>
    </row>
    <row r="12" spans="1:9" ht="15.75">
      <c r="A12" s="159" t="s">
        <v>332</v>
      </c>
      <c r="B12" s="80" t="s">
        <v>333</v>
      </c>
      <c r="C12" s="121" t="s">
        <v>331</v>
      </c>
      <c r="D12" s="343">
        <v>1.9</v>
      </c>
      <c r="E12" s="344">
        <v>0.05</v>
      </c>
      <c r="F12" s="345" t="s">
        <v>103</v>
      </c>
      <c r="G12" s="348"/>
      <c r="H12" s="348" t="s">
        <v>111</v>
      </c>
      <c r="I12" s="347">
        <v>3.2899999999999999E-2</v>
      </c>
    </row>
    <row r="13" spans="1:9" ht="15.75">
      <c r="A13" s="159" t="s">
        <v>334</v>
      </c>
      <c r="B13" s="80" t="s">
        <v>335</v>
      </c>
      <c r="C13" s="121" t="s">
        <v>336</v>
      </c>
      <c r="D13" s="343">
        <v>0.9</v>
      </c>
      <c r="E13" s="344">
        <v>7.0000000000000007E-2</v>
      </c>
      <c r="F13" s="345" t="s">
        <v>105</v>
      </c>
      <c r="G13" s="349" t="s">
        <v>208</v>
      </c>
      <c r="H13" s="348" t="s">
        <v>77</v>
      </c>
      <c r="I13" s="347">
        <v>3.2899999999999999E-2</v>
      </c>
    </row>
    <row r="14" spans="1:9" ht="15.75">
      <c r="A14" s="159" t="s">
        <v>371</v>
      </c>
      <c r="B14" s="80" t="s">
        <v>372</v>
      </c>
      <c r="C14" s="121" t="s">
        <v>331</v>
      </c>
      <c r="D14" s="343">
        <v>1.3</v>
      </c>
      <c r="E14" s="344">
        <v>0</v>
      </c>
      <c r="F14" s="345" t="s">
        <v>110</v>
      </c>
      <c r="G14" s="120"/>
      <c r="H14" s="348" t="s">
        <v>111</v>
      </c>
      <c r="I14" s="347">
        <v>3.2899999999999999E-2</v>
      </c>
    </row>
    <row r="15" spans="1:9" ht="15.75">
      <c r="A15" s="159" t="s">
        <v>337</v>
      </c>
      <c r="B15" s="80" t="s">
        <v>338</v>
      </c>
      <c r="C15" s="121" t="s">
        <v>336</v>
      </c>
      <c r="D15" s="343">
        <v>1.7</v>
      </c>
      <c r="E15" s="344">
        <v>0</v>
      </c>
      <c r="F15" s="345" t="s">
        <v>120</v>
      </c>
      <c r="G15" s="349" t="s">
        <v>245</v>
      </c>
      <c r="H15" s="348" t="s">
        <v>246</v>
      </c>
      <c r="I15" s="347">
        <v>6.13E-2</v>
      </c>
    </row>
    <row r="16" spans="1:9" s="144" customFormat="1" ht="15.75">
      <c r="A16" s="159" t="s">
        <v>339</v>
      </c>
      <c r="B16" s="197" t="s">
        <v>340</v>
      </c>
      <c r="C16" s="121" t="s">
        <v>331</v>
      </c>
      <c r="D16" s="343">
        <v>1.1000000000000001</v>
      </c>
      <c r="E16" s="344">
        <v>0.01</v>
      </c>
      <c r="F16" s="345" t="s">
        <v>110</v>
      </c>
      <c r="G16" s="345" t="s">
        <v>208</v>
      </c>
      <c r="H16" s="345" t="s">
        <v>104</v>
      </c>
      <c r="I16" s="347">
        <v>3.2899999999999999E-2</v>
      </c>
    </row>
    <row r="17" spans="1:10" ht="15.75">
      <c r="A17" s="159" t="s">
        <v>341</v>
      </c>
      <c r="B17" s="197" t="s">
        <v>342</v>
      </c>
      <c r="C17" s="121" t="s">
        <v>336</v>
      </c>
      <c r="D17" s="343">
        <v>1.25</v>
      </c>
      <c r="E17" s="344">
        <v>0</v>
      </c>
      <c r="F17" s="345" t="s">
        <v>133</v>
      </c>
      <c r="G17" s="346" t="s">
        <v>76</v>
      </c>
      <c r="H17" s="345" t="s">
        <v>77</v>
      </c>
      <c r="I17" s="347">
        <v>3.2899999999999999E-2</v>
      </c>
    </row>
    <row r="18" spans="1:10" ht="15.75">
      <c r="A18" s="159" t="s">
        <v>343</v>
      </c>
      <c r="B18" s="197" t="s">
        <v>344</v>
      </c>
      <c r="C18" s="121" t="s">
        <v>336</v>
      </c>
      <c r="D18" s="343">
        <v>1.6</v>
      </c>
      <c r="E18" s="344">
        <v>0.21</v>
      </c>
      <c r="F18" s="345" t="s">
        <v>110</v>
      </c>
      <c r="G18" s="346" t="s">
        <v>76</v>
      </c>
      <c r="H18" s="345" t="s">
        <v>111</v>
      </c>
      <c r="I18" s="347">
        <v>3.2899999999999999E-2</v>
      </c>
    </row>
    <row r="19" spans="1:10" ht="15.75">
      <c r="A19" s="159" t="s">
        <v>345</v>
      </c>
      <c r="B19" s="197" t="s">
        <v>346</v>
      </c>
      <c r="C19" s="121" t="s">
        <v>336</v>
      </c>
      <c r="D19" s="343">
        <v>1.05</v>
      </c>
      <c r="E19" s="344">
        <v>0.23</v>
      </c>
      <c r="F19" s="345" t="s">
        <v>105</v>
      </c>
      <c r="G19" s="346" t="s">
        <v>208</v>
      </c>
      <c r="H19" s="345" t="s">
        <v>77</v>
      </c>
      <c r="I19" s="347">
        <v>3.2899999999999999E-2</v>
      </c>
    </row>
    <row r="20" spans="1:10" ht="15.75">
      <c r="A20" s="159" t="s">
        <v>347</v>
      </c>
      <c r="B20" s="197" t="s">
        <v>348</v>
      </c>
      <c r="C20" s="121" t="s">
        <v>336</v>
      </c>
      <c r="D20" s="343">
        <v>1.45</v>
      </c>
      <c r="E20" s="344">
        <v>0.23</v>
      </c>
      <c r="F20" s="345" t="s">
        <v>133</v>
      </c>
      <c r="G20" s="346" t="s">
        <v>76</v>
      </c>
      <c r="H20" s="345" t="s">
        <v>111</v>
      </c>
      <c r="I20" s="347">
        <v>3.2899999999999999E-2</v>
      </c>
    </row>
    <row r="21" spans="1:10" ht="16.5" thickBot="1">
      <c r="A21" s="24"/>
      <c r="B21" s="101"/>
      <c r="C21" s="350"/>
      <c r="D21" s="142"/>
      <c r="E21" s="351"/>
      <c r="F21" s="83"/>
      <c r="G21" s="82"/>
      <c r="H21" s="82"/>
      <c r="I21" s="82"/>
    </row>
    <row r="22" spans="1:10" ht="15.75" thickTop="1">
      <c r="C22" s="87" t="s">
        <v>55</v>
      </c>
      <c r="D22" s="253" t="s">
        <v>351</v>
      </c>
      <c r="E22" s="253" t="s">
        <v>352</v>
      </c>
      <c r="F22" s="3" t="s">
        <v>6</v>
      </c>
      <c r="G22" s="85" t="s">
        <v>6</v>
      </c>
      <c r="I22" s="253" t="s">
        <v>353</v>
      </c>
    </row>
    <row r="23" spans="1:10">
      <c r="C23" s="87" t="s">
        <v>57</v>
      </c>
      <c r="D23" s="185">
        <f>MEDIAN(D11:D20)</f>
        <v>1.375</v>
      </c>
      <c r="E23" s="186">
        <f>MEDIAN(E11:E20)</f>
        <v>0.03</v>
      </c>
      <c r="G23" s="88" t="s">
        <v>76</v>
      </c>
      <c r="H23" s="80" t="s">
        <v>77</v>
      </c>
      <c r="I23" s="186">
        <f>MEDIAN(I11:I20)</f>
        <v>3.2899999999999999E-2</v>
      </c>
    </row>
    <row r="24" spans="1:10">
      <c r="C24" s="87" t="s">
        <v>25</v>
      </c>
      <c r="D24" s="187">
        <f>AVERAGE(D11:D20)</f>
        <v>1.385</v>
      </c>
      <c r="E24" s="13">
        <f>AVERAGE(E11:E20)</f>
        <v>7.9999999999999988E-2</v>
      </c>
      <c r="G24" s="90" t="s">
        <v>6</v>
      </c>
      <c r="I24" s="13">
        <f>AVERAGE(I11:I20)</f>
        <v>3.9919999999999997E-2</v>
      </c>
    </row>
    <row r="25" spans="1:10">
      <c r="F25" s="87"/>
      <c r="G25" s="90"/>
      <c r="I25" s="187"/>
      <c r="J25" s="352"/>
    </row>
    <row r="26" spans="1:10" ht="21">
      <c r="H26" s="61" t="s">
        <v>78</v>
      </c>
      <c r="I26" s="150">
        <v>3.2899999999999999E-2</v>
      </c>
      <c r="J26" s="94" t="s">
        <v>6</v>
      </c>
    </row>
  </sheetData>
  <pageMargins left="0.25" right="0.25" top="0.75" bottom="0.75" header="0.3" footer="0.3"/>
  <pageSetup scale="53" orientation="portrait" r:id="rId1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I58"/>
  <sheetViews>
    <sheetView zoomScale="90" zoomScaleNormal="90" workbookViewId="0">
      <selection activeCell="G27" sqref="G27"/>
    </sheetView>
  </sheetViews>
  <sheetFormatPr defaultRowHeight="15"/>
  <cols>
    <col min="1" max="1" width="43.7109375" customWidth="1"/>
    <col min="2" max="2" width="12.85546875" customWidth="1"/>
    <col min="3" max="3" width="24.7109375" customWidth="1"/>
    <col min="4" max="4" width="17.28515625" customWidth="1"/>
    <col min="5" max="5" width="21.85546875" customWidth="1"/>
    <col min="6" max="7" width="18" customWidth="1"/>
    <col min="8" max="8" width="12.5703125" customWidth="1"/>
    <col min="9" max="9" width="11.5703125" customWidth="1"/>
  </cols>
  <sheetData>
    <row r="1" spans="1:8" ht="21">
      <c r="A1" s="23" t="s">
        <v>0</v>
      </c>
    </row>
    <row r="2" spans="1:8" ht="15.75">
      <c r="A2" s="24" t="s">
        <v>1</v>
      </c>
    </row>
    <row r="3" spans="1:8">
      <c r="A3" s="22" t="s">
        <v>2</v>
      </c>
    </row>
    <row r="4" spans="1:8">
      <c r="E4" s="4" t="s">
        <v>6</v>
      </c>
    </row>
    <row r="5" spans="1:8" ht="15.75">
      <c r="A5" s="76" t="s">
        <v>328</v>
      </c>
    </row>
    <row r="6" spans="1:8" ht="15.75">
      <c r="A6" s="76"/>
    </row>
    <row r="7" spans="1:8" ht="18.75">
      <c r="A7" s="76"/>
      <c r="E7" s="95" t="s">
        <v>79</v>
      </c>
    </row>
    <row r="8" spans="1:8" ht="18.75">
      <c r="A8" s="76"/>
      <c r="E8" s="95" t="s">
        <v>80</v>
      </c>
    </row>
    <row r="9" spans="1:8" ht="15.75">
      <c r="A9" s="76"/>
      <c r="E9" s="280" t="s">
        <v>6</v>
      </c>
    </row>
    <row r="10" spans="1:8" ht="15.75" thickBot="1">
      <c r="A10" s="77" t="s">
        <v>6</v>
      </c>
      <c r="B10" s="77" t="s">
        <v>6</v>
      </c>
      <c r="C10" s="77"/>
      <c r="D10" s="77" t="s">
        <v>6</v>
      </c>
      <c r="E10" s="77" t="s">
        <v>6</v>
      </c>
      <c r="F10" s="77" t="s">
        <v>6</v>
      </c>
      <c r="G10" s="77" t="s">
        <v>6</v>
      </c>
    </row>
    <row r="11" spans="1:8">
      <c r="A11" s="8" t="s">
        <v>6</v>
      </c>
      <c r="B11" s="8" t="s">
        <v>27</v>
      </c>
      <c r="C11" s="8"/>
      <c r="D11" s="8" t="s">
        <v>6</v>
      </c>
      <c r="E11" s="8" t="s">
        <v>81</v>
      </c>
      <c r="F11" s="8" t="s">
        <v>81</v>
      </c>
      <c r="G11" s="8" t="s">
        <v>82</v>
      </c>
    </row>
    <row r="12" spans="1:8" ht="15.75" thickBot="1">
      <c r="A12" s="7" t="s">
        <v>34</v>
      </c>
      <c r="B12" s="7" t="s">
        <v>35</v>
      </c>
      <c r="C12" s="7"/>
      <c r="D12" s="7" t="s">
        <v>83</v>
      </c>
      <c r="E12" s="7" t="s">
        <v>84</v>
      </c>
      <c r="F12" s="7" t="s">
        <v>85</v>
      </c>
      <c r="G12" s="7" t="s">
        <v>86</v>
      </c>
    </row>
    <row r="13" spans="1:8">
      <c r="A13" s="9" t="s">
        <v>6</v>
      </c>
      <c r="B13" s="9" t="s">
        <v>6</v>
      </c>
      <c r="C13" s="9"/>
      <c r="D13" s="9" t="s">
        <v>41</v>
      </c>
      <c r="E13" s="9" t="s">
        <v>87</v>
      </c>
      <c r="F13" s="9" t="s">
        <v>6</v>
      </c>
      <c r="G13" s="9" t="s">
        <v>6</v>
      </c>
    </row>
    <row r="14" spans="1:8">
      <c r="A14" s="8"/>
      <c r="B14" s="8"/>
      <c r="C14" s="8"/>
      <c r="D14" s="8"/>
      <c r="E14" s="8"/>
      <c r="F14" s="8"/>
      <c r="G14" s="8"/>
    </row>
    <row r="15" spans="1:8" s="144" customFormat="1" ht="15.75">
      <c r="A15" s="159" t="s">
        <v>329</v>
      </c>
      <c r="B15" s="80" t="s">
        <v>330</v>
      </c>
      <c r="C15" s="121" t="s">
        <v>331</v>
      </c>
      <c r="D15" s="353">
        <v>18.52</v>
      </c>
      <c r="E15" s="354">
        <v>4.5999999999999996</v>
      </c>
      <c r="F15" s="355">
        <f t="shared" ref="F15:F24" si="0">D15/E15</f>
        <v>4.0260869565217394</v>
      </c>
      <c r="G15" s="356">
        <f t="shared" ref="G15:G24" si="1">1/F15</f>
        <v>0.24838012958963282</v>
      </c>
      <c r="H15" s="431"/>
    </row>
    <row r="16" spans="1:8" s="144" customFormat="1" ht="15.75">
      <c r="A16" s="159" t="s">
        <v>332</v>
      </c>
      <c r="B16" s="80" t="s">
        <v>333</v>
      </c>
      <c r="C16" s="121" t="s">
        <v>331</v>
      </c>
      <c r="D16" s="353">
        <v>5.26</v>
      </c>
      <c r="E16" s="354">
        <v>1.6</v>
      </c>
      <c r="F16" s="354">
        <f>D16/E16</f>
        <v>3.2874999999999996</v>
      </c>
      <c r="G16" s="357">
        <f>1/F16</f>
        <v>0.30418250950570347</v>
      </c>
      <c r="H16" s="431"/>
    </row>
    <row r="17" spans="1:8" s="144" customFormat="1" ht="15.75">
      <c r="A17" s="159" t="s">
        <v>334</v>
      </c>
      <c r="B17" s="80" t="s">
        <v>335</v>
      </c>
      <c r="C17" s="121" t="s">
        <v>336</v>
      </c>
      <c r="D17" s="353">
        <v>40.71</v>
      </c>
      <c r="E17" s="354">
        <v>4.0599999999999996</v>
      </c>
      <c r="F17" s="354">
        <f t="shared" si="0"/>
        <v>10.027093596059114</v>
      </c>
      <c r="G17" s="357">
        <f t="shared" si="1"/>
        <v>9.9729796118889699E-2</v>
      </c>
    </row>
    <row r="18" spans="1:8" s="144" customFormat="1" ht="15.75">
      <c r="A18" s="159" t="s">
        <v>371</v>
      </c>
      <c r="B18" s="80" t="s">
        <v>372</v>
      </c>
      <c r="C18" s="121" t="s">
        <v>331</v>
      </c>
      <c r="D18" s="353">
        <v>6.18</v>
      </c>
      <c r="E18" s="354">
        <v>2.0499999999999998</v>
      </c>
      <c r="F18" s="354">
        <f>D18/E18</f>
        <v>3.0146341463414634</v>
      </c>
      <c r="G18" s="357">
        <f>1/F18</f>
        <v>0.33171521035598706</v>
      </c>
      <c r="H18" s="433"/>
    </row>
    <row r="19" spans="1:8" s="144" customFormat="1" ht="15.75">
      <c r="A19" s="159" t="s">
        <v>337</v>
      </c>
      <c r="B19" s="80" t="s">
        <v>338</v>
      </c>
      <c r="C19" s="121" t="s">
        <v>336</v>
      </c>
      <c r="D19" s="353">
        <v>3.71</v>
      </c>
      <c r="E19" s="354">
        <v>0.85</v>
      </c>
      <c r="F19" s="354">
        <f t="shared" si="0"/>
        <v>4.3647058823529417</v>
      </c>
      <c r="G19" s="357">
        <f t="shared" si="1"/>
        <v>0.22911051212938002</v>
      </c>
    </row>
    <row r="20" spans="1:8" s="144" customFormat="1" ht="15.75">
      <c r="A20" s="159" t="s">
        <v>339</v>
      </c>
      <c r="B20" s="197" t="s">
        <v>340</v>
      </c>
      <c r="C20" s="121" t="s">
        <v>331</v>
      </c>
      <c r="D20" s="353">
        <v>19.59</v>
      </c>
      <c r="E20" s="354">
        <v>2.65</v>
      </c>
      <c r="F20" s="354">
        <f t="shared" si="0"/>
        <v>7.3924528301886792</v>
      </c>
      <c r="G20" s="357">
        <f t="shared" si="1"/>
        <v>0.13527309851965288</v>
      </c>
      <c r="H20" s="431"/>
    </row>
    <row r="21" spans="1:8" s="144" customFormat="1" ht="15.75">
      <c r="A21" s="159" t="s">
        <v>341</v>
      </c>
      <c r="B21" s="197" t="s">
        <v>342</v>
      </c>
      <c r="C21" s="121" t="s">
        <v>336</v>
      </c>
      <c r="D21" s="353">
        <v>13.67</v>
      </c>
      <c r="E21" s="354">
        <v>1.01</v>
      </c>
      <c r="F21" s="354">
        <f t="shared" si="0"/>
        <v>13.534653465346535</v>
      </c>
      <c r="G21" s="357">
        <f t="shared" si="1"/>
        <v>7.3884418434528157E-2</v>
      </c>
    </row>
    <row r="22" spans="1:8" ht="15.75">
      <c r="A22" s="159" t="s">
        <v>343</v>
      </c>
      <c r="B22" s="197" t="s">
        <v>344</v>
      </c>
      <c r="C22" s="121" t="s">
        <v>336</v>
      </c>
      <c r="D22" s="353">
        <v>38.380000000000003</v>
      </c>
      <c r="E22" s="354">
        <v>3.75</v>
      </c>
      <c r="F22" s="354">
        <f t="shared" si="0"/>
        <v>10.234666666666667</v>
      </c>
      <c r="G22" s="357">
        <f t="shared" si="1"/>
        <v>9.770713913496612E-2</v>
      </c>
    </row>
    <row r="23" spans="1:8" ht="15.75">
      <c r="A23" s="159" t="s">
        <v>345</v>
      </c>
      <c r="B23" s="197" t="s">
        <v>346</v>
      </c>
      <c r="C23" s="121" t="s">
        <v>336</v>
      </c>
      <c r="D23" s="353">
        <v>40.72</v>
      </c>
      <c r="E23" s="354">
        <v>5.25</v>
      </c>
      <c r="F23" s="354">
        <f t="shared" si="0"/>
        <v>7.7561904761904756</v>
      </c>
      <c r="G23" s="357">
        <f t="shared" si="1"/>
        <v>0.12892927308447938</v>
      </c>
    </row>
    <row r="24" spans="1:8" ht="15.75">
      <c r="A24" s="159" t="s">
        <v>354</v>
      </c>
      <c r="B24" s="197" t="s">
        <v>348</v>
      </c>
      <c r="C24" s="121" t="s">
        <v>336</v>
      </c>
      <c r="D24" s="353">
        <v>20.05</v>
      </c>
      <c r="E24" s="354">
        <v>2.5499999999999998</v>
      </c>
      <c r="F24" s="355">
        <f t="shared" si="0"/>
        <v>7.8627450980392162</v>
      </c>
      <c r="G24" s="356">
        <f t="shared" si="1"/>
        <v>0.12718204488778054</v>
      </c>
    </row>
    <row r="25" spans="1:8" ht="15.75" thickBot="1">
      <c r="A25" s="144"/>
      <c r="B25" s="358"/>
      <c r="C25" s="358"/>
      <c r="D25" s="359"/>
      <c r="E25" s="360"/>
      <c r="F25" s="359"/>
      <c r="G25" s="359"/>
    </row>
    <row r="26" spans="1:8" ht="15.75" thickTop="1">
      <c r="B26" s="87" t="s">
        <v>55</v>
      </c>
      <c r="C26" s="87"/>
      <c r="D26" s="361" t="s">
        <v>355</v>
      </c>
      <c r="E26" s="361" t="s">
        <v>356</v>
      </c>
      <c r="F26" s="361" t="s">
        <v>572</v>
      </c>
      <c r="G26" s="361" t="s">
        <v>573</v>
      </c>
    </row>
    <row r="27" spans="1:8">
      <c r="B27" s="87" t="s">
        <v>57</v>
      </c>
      <c r="C27" s="87"/>
      <c r="D27" s="362">
        <f>MEDIAN(D15:D24)</f>
        <v>19.055</v>
      </c>
      <c r="E27" s="363">
        <f>MEDIAN(E15:E24)</f>
        <v>2.5999999999999996</v>
      </c>
      <c r="F27" s="363">
        <f>MEDIAN(F15:F24)</f>
        <v>7.5743216531895774</v>
      </c>
      <c r="G27" s="364">
        <f>MEDIAN(G15:G24)</f>
        <v>0.13210118580206615</v>
      </c>
    </row>
    <row r="28" spans="1:8">
      <c r="B28" s="87" t="s">
        <v>25</v>
      </c>
      <c r="C28" s="87"/>
      <c r="D28" s="362">
        <f>AVERAGE(D15:D24)</f>
        <v>20.679000000000002</v>
      </c>
      <c r="E28" s="365">
        <f>AVERAGE(E15:E24)</f>
        <v>2.8370000000000002</v>
      </c>
      <c r="F28" s="365">
        <f>AVERAGE(F15:F24)</f>
        <v>7.1500729117706836</v>
      </c>
      <c r="G28" s="364">
        <f>AVERAGE(G15:G24)</f>
        <v>0.17760941317610002</v>
      </c>
    </row>
    <row r="30" spans="1:8" ht="22.5" customHeight="1">
      <c r="A30" s="366"/>
      <c r="B30" s="367"/>
      <c r="C30" s="367"/>
      <c r="D30" s="368"/>
      <c r="E30" s="98"/>
      <c r="F30" s="369" t="s">
        <v>20</v>
      </c>
      <c r="G30" s="370">
        <v>0.1321</v>
      </c>
      <c r="H30" s="92"/>
    </row>
    <row r="31" spans="1:8" ht="22.5" customHeight="1">
      <c r="A31" s="366" t="s">
        <v>6</v>
      </c>
      <c r="B31" s="367" t="s">
        <v>6</v>
      </c>
      <c r="C31" s="367"/>
    </row>
    <row r="32" spans="1:8" ht="23.25">
      <c r="A32" s="371" t="s">
        <v>6</v>
      </c>
      <c r="B32" s="367"/>
      <c r="C32" s="367"/>
      <c r="D32" s="368"/>
      <c r="E32" s="98"/>
      <c r="F32" s="369"/>
      <c r="G32" s="93"/>
      <c r="H32" s="92"/>
    </row>
    <row r="33" spans="1:8" ht="23.25">
      <c r="A33" s="285" t="s">
        <v>262</v>
      </c>
      <c r="B33" s="367"/>
      <c r="C33" s="367"/>
      <c r="D33" s="368"/>
      <c r="E33" s="98"/>
      <c r="F33" s="369"/>
      <c r="G33" s="93"/>
      <c r="H33" s="92"/>
    </row>
    <row r="34" spans="1:8" ht="17.25" customHeight="1">
      <c r="A34" s="372"/>
      <c r="B34" s="367"/>
      <c r="C34" s="367"/>
      <c r="D34" s="368"/>
      <c r="E34" s="98"/>
      <c r="F34" s="369"/>
      <c r="G34" s="93"/>
      <c r="H34" s="92"/>
    </row>
    <row r="35" spans="1:8" ht="17.25" customHeight="1">
      <c r="A35" s="373" t="s">
        <v>357</v>
      </c>
      <c r="B35" s="367"/>
      <c r="C35" s="367"/>
      <c r="D35" s="368"/>
      <c r="E35" s="98"/>
      <c r="F35" s="369"/>
      <c r="G35" s="93"/>
      <c r="H35" s="92"/>
    </row>
    <row r="36" spans="1:8" ht="17.25" customHeight="1">
      <c r="A36" s="373" t="s">
        <v>564</v>
      </c>
      <c r="B36" s="367"/>
      <c r="C36" s="367"/>
      <c r="D36" s="368"/>
      <c r="E36" s="98"/>
      <c r="F36" s="369"/>
      <c r="G36" s="93"/>
      <c r="H36" s="92"/>
    </row>
    <row r="37" spans="1:8" ht="17.25" customHeight="1">
      <c r="A37" s="373"/>
      <c r="B37" s="367"/>
      <c r="C37" s="367"/>
      <c r="D37" s="368"/>
      <c r="E37" s="98"/>
      <c r="F37" s="369"/>
      <c r="G37" s="93"/>
      <c r="H37" s="92"/>
    </row>
    <row r="38" spans="1:8" ht="17.25" customHeight="1">
      <c r="A38" s="371"/>
      <c r="B38" s="367"/>
      <c r="C38" s="367"/>
      <c r="D38" s="368"/>
      <c r="E38" s="98"/>
      <c r="F38" s="369"/>
      <c r="G38" s="93"/>
      <c r="H38" s="92"/>
    </row>
    <row r="39" spans="1:8" ht="23.25">
      <c r="A39" s="374" t="s">
        <v>258</v>
      </c>
      <c r="B39" s="367"/>
      <c r="C39" s="367"/>
      <c r="D39" s="368"/>
      <c r="E39" s="98"/>
      <c r="F39" s="369"/>
      <c r="G39" s="93"/>
      <c r="H39" s="92"/>
    </row>
    <row r="40" spans="1:8" ht="15" customHeight="1">
      <c r="A40" s="189"/>
      <c r="B40" s="367"/>
      <c r="C40" s="367"/>
      <c r="D40" s="368"/>
      <c r="E40" s="98"/>
      <c r="F40" s="369"/>
      <c r="G40" s="93"/>
      <c r="H40" s="92"/>
    </row>
    <row r="41" spans="1:8" ht="15" customHeight="1">
      <c r="A41" s="375" t="s">
        <v>358</v>
      </c>
      <c r="B41" s="367"/>
      <c r="C41" s="367"/>
      <c r="D41" s="368"/>
      <c r="E41" s="98"/>
      <c r="F41" s="369"/>
      <c r="G41" s="93"/>
      <c r="H41" s="92"/>
    </row>
    <row r="42" spans="1:8" ht="15" customHeight="1">
      <c r="A42" s="375" t="s">
        <v>359</v>
      </c>
      <c r="B42" s="367"/>
      <c r="C42" s="367"/>
      <c r="D42" s="368"/>
      <c r="E42" s="98"/>
      <c r="F42" s="369"/>
      <c r="G42" s="93"/>
      <c r="H42" s="92"/>
    </row>
    <row r="43" spans="1:8" ht="15" customHeight="1">
      <c r="A43" s="375" t="s">
        <v>360</v>
      </c>
      <c r="B43" s="367"/>
      <c r="C43" s="367"/>
      <c r="D43" s="368"/>
      <c r="E43" s="98"/>
      <c r="F43" s="369"/>
      <c r="G43" s="93"/>
      <c r="H43" s="92"/>
    </row>
    <row r="44" spans="1:8" ht="15" customHeight="1">
      <c r="A44" s="375" t="s">
        <v>361</v>
      </c>
      <c r="B44" s="367"/>
      <c r="C44" s="367"/>
      <c r="D44" s="368"/>
      <c r="E44" s="98"/>
      <c r="F44" s="369"/>
      <c r="G44" s="93"/>
      <c r="H44" s="92"/>
    </row>
    <row r="45" spans="1:8" ht="15" customHeight="1">
      <c r="A45" s="375" t="s">
        <v>362</v>
      </c>
      <c r="B45" s="367"/>
      <c r="C45" s="367"/>
      <c r="D45" s="368"/>
      <c r="E45" s="98"/>
      <c r="F45" s="369"/>
      <c r="G45" s="93"/>
      <c r="H45" s="92"/>
    </row>
    <row r="46" spans="1:8" ht="15" customHeight="1">
      <c r="A46" s="375" t="s">
        <v>363</v>
      </c>
      <c r="B46" s="367"/>
      <c r="C46" s="367"/>
      <c r="D46" s="368"/>
      <c r="E46" s="98"/>
      <c r="F46" s="369"/>
      <c r="G46" s="93"/>
      <c r="H46" s="92"/>
    </row>
    <row r="47" spans="1:8" ht="15" customHeight="1">
      <c r="A47" s="375" t="s">
        <v>364</v>
      </c>
      <c r="B47" s="367"/>
      <c r="C47" s="367"/>
      <c r="D47" s="368"/>
      <c r="E47" s="98"/>
      <c r="F47" s="369"/>
      <c r="G47" s="93"/>
      <c r="H47" s="92"/>
    </row>
    <row r="48" spans="1:8" ht="15" customHeight="1">
      <c r="A48" s="375" t="s">
        <v>365</v>
      </c>
      <c r="B48" s="367"/>
      <c r="C48" s="367"/>
      <c r="D48" s="368"/>
      <c r="E48" s="98"/>
      <c r="F48" s="369"/>
      <c r="G48" s="93"/>
      <c r="H48" s="92"/>
    </row>
    <row r="49" spans="1:9" ht="15" customHeight="1">
      <c r="A49" s="375" t="s">
        <v>366</v>
      </c>
      <c r="B49" s="367"/>
      <c r="C49" s="367"/>
      <c r="D49" s="368"/>
      <c r="E49" s="98"/>
      <c r="F49" s="369"/>
      <c r="G49" s="93"/>
      <c r="H49" s="92"/>
    </row>
    <row r="50" spans="1:9" ht="15" customHeight="1">
      <c r="A50" s="375" t="s">
        <v>367</v>
      </c>
      <c r="B50" s="367"/>
      <c r="C50" s="367"/>
      <c r="D50" s="368"/>
      <c r="E50" s="98"/>
      <c r="F50" s="369"/>
      <c r="G50" s="93"/>
      <c r="H50" s="92"/>
    </row>
    <row r="51" spans="1:9" ht="15" customHeight="1">
      <c r="A51" s="375" t="s">
        <v>368</v>
      </c>
      <c r="B51" s="144"/>
      <c r="C51" s="144"/>
      <c r="D51" s="144"/>
      <c r="E51" s="144"/>
      <c r="F51" s="144"/>
      <c r="G51" s="144"/>
      <c r="H51" s="144"/>
      <c r="I51" s="144"/>
    </row>
    <row r="52" spans="1:9">
      <c r="A52" s="375" t="s">
        <v>565</v>
      </c>
      <c r="B52" s="144"/>
      <c r="C52" s="144"/>
    </row>
    <row r="53" spans="1:9">
      <c r="A53" s="258"/>
      <c r="B53" s="144"/>
      <c r="C53" s="144"/>
    </row>
    <row r="54" spans="1:9">
      <c r="B54" s="286"/>
      <c r="C54" s="286"/>
      <c r="D54" s="286"/>
      <c r="E54" s="286"/>
    </row>
    <row r="55" spans="1:9">
      <c r="B55" s="286"/>
      <c r="C55" s="286"/>
      <c r="D55" s="286"/>
      <c r="E55" s="286"/>
    </row>
    <row r="56" spans="1:9">
      <c r="B56" s="286"/>
      <c r="C56" s="286"/>
      <c r="D56" s="286"/>
      <c r="E56" s="286"/>
    </row>
    <row r="57" spans="1:9">
      <c r="B57" s="286"/>
      <c r="C57" s="286"/>
      <c r="D57" s="286"/>
      <c r="E57" s="286"/>
    </row>
    <row r="58" spans="1:9">
      <c r="A58" s="373" t="s">
        <v>6</v>
      </c>
      <c r="B58" s="286"/>
      <c r="C58" s="286"/>
      <c r="D58" s="286"/>
      <c r="E58" s="286"/>
    </row>
  </sheetData>
  <pageMargins left="0.25" right="0.25" top="0.75" bottom="0.75" header="0.3" footer="0.3"/>
  <pageSetup scale="61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A1:F25"/>
  <sheetViews>
    <sheetView zoomScaleNormal="100" workbookViewId="0">
      <selection activeCell="D9" sqref="D9"/>
    </sheetView>
  </sheetViews>
  <sheetFormatPr defaultRowHeight="15"/>
  <cols>
    <col min="1" max="1" width="24.85546875" customWidth="1"/>
    <col min="2" max="2" width="13.28515625" bestFit="1" customWidth="1"/>
    <col min="3" max="3" width="28.5703125" customWidth="1"/>
    <col min="4" max="4" width="15.140625" customWidth="1"/>
    <col min="5" max="5" width="20.85546875" bestFit="1" customWidth="1"/>
    <col min="6" max="6" width="19.42578125" customWidth="1"/>
  </cols>
  <sheetData>
    <row r="1" spans="1:6" ht="21">
      <c r="C1" s="1" t="s">
        <v>0</v>
      </c>
    </row>
    <row r="2" spans="1:6" ht="15.75">
      <c r="C2" s="2" t="s">
        <v>1</v>
      </c>
    </row>
    <row r="3" spans="1:6">
      <c r="A3" s="198"/>
    </row>
    <row r="4" spans="1:6">
      <c r="C4" s="3" t="s">
        <v>2</v>
      </c>
    </row>
    <row r="5" spans="1:6">
      <c r="C5" s="3" t="s">
        <v>3</v>
      </c>
    </row>
    <row r="8" spans="1:6">
      <c r="D8" s="4"/>
    </row>
    <row r="10" spans="1:6" ht="15.75" thickBot="1">
      <c r="B10" s="5"/>
      <c r="C10" s="5"/>
      <c r="D10" s="5"/>
    </row>
    <row r="11" spans="1:6" ht="21">
      <c r="C11" s="6" t="s">
        <v>369</v>
      </c>
    </row>
    <row r="12" spans="1:6" ht="15.75" thickBot="1">
      <c r="B12" s="5"/>
      <c r="C12" s="7" t="s">
        <v>5</v>
      </c>
      <c r="D12" s="5"/>
    </row>
    <row r="13" spans="1:6" ht="15.75" thickBot="1">
      <c r="A13" s="5"/>
      <c r="B13" s="5"/>
      <c r="C13" s="7" t="s">
        <v>6</v>
      </c>
      <c r="D13" s="5"/>
      <c r="E13" s="5"/>
      <c r="F13" s="5"/>
    </row>
    <row r="14" spans="1:6">
      <c r="A14" s="8" t="s">
        <v>7</v>
      </c>
      <c r="B14" s="8" t="s">
        <v>8</v>
      </c>
      <c r="C14" s="8" t="s">
        <v>9</v>
      </c>
      <c r="D14" s="8" t="s">
        <v>10</v>
      </c>
      <c r="E14" s="8" t="s">
        <v>11</v>
      </c>
      <c r="F14" s="8" t="s">
        <v>12</v>
      </c>
    </row>
    <row r="15" spans="1:6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</row>
    <row r="16" spans="1:6">
      <c r="A16" s="9" t="s">
        <v>6</v>
      </c>
      <c r="B16" s="9" t="s">
        <v>6</v>
      </c>
      <c r="C16" s="9" t="s">
        <v>6</v>
      </c>
      <c r="D16" s="9" t="s">
        <v>6</v>
      </c>
      <c r="E16" s="9" t="s">
        <v>6</v>
      </c>
      <c r="F16" s="9" t="s">
        <v>6</v>
      </c>
    </row>
    <row r="17" spans="1:6">
      <c r="A17" s="8"/>
      <c r="B17" s="8"/>
      <c r="C17" s="8"/>
      <c r="D17" s="8"/>
      <c r="E17" s="8"/>
      <c r="F17" s="8"/>
    </row>
    <row r="18" spans="1:6" ht="15.75">
      <c r="A18" s="2" t="s">
        <v>17</v>
      </c>
      <c r="B18" s="16">
        <v>0.43</v>
      </c>
      <c r="C18" s="16">
        <f>+'CF Multiples_LQ PL'!G29</f>
        <v>0.22090000000000001</v>
      </c>
      <c r="D18" s="121" t="s">
        <v>134</v>
      </c>
      <c r="E18" s="155">
        <f>+C18</f>
        <v>0.22090000000000001</v>
      </c>
      <c r="F18" s="54">
        <f>+E18*B18</f>
        <v>9.4987000000000002E-2</v>
      </c>
    </row>
    <row r="19" spans="1:6" ht="15.75">
      <c r="A19" s="2" t="s">
        <v>6</v>
      </c>
      <c r="B19" s="14" t="s">
        <v>6</v>
      </c>
      <c r="C19" s="14" t="s">
        <v>6</v>
      </c>
      <c r="D19" s="2" t="s">
        <v>6</v>
      </c>
      <c r="E19" s="15" t="s">
        <v>6</v>
      </c>
      <c r="F19" s="12" t="s">
        <v>6</v>
      </c>
    </row>
    <row r="20" spans="1:6" ht="15.75">
      <c r="A20" s="2" t="s">
        <v>18</v>
      </c>
      <c r="B20" s="16">
        <v>0.56999999999999995</v>
      </c>
      <c r="C20" s="16">
        <v>3.2899999999999999E-2</v>
      </c>
      <c r="D20" s="16">
        <v>0.26</v>
      </c>
      <c r="E20" s="155">
        <f>+C20*(1-D20)</f>
        <v>2.4346E-2</v>
      </c>
      <c r="F20" s="54">
        <f>+B20*E20</f>
        <v>1.3877219999999999E-2</v>
      </c>
    </row>
    <row r="21" spans="1:6" ht="16.5" thickBot="1">
      <c r="A21" s="17" t="s">
        <v>6</v>
      </c>
      <c r="B21" s="17" t="s">
        <v>6</v>
      </c>
      <c r="C21" s="17" t="s">
        <v>6</v>
      </c>
      <c r="D21" s="17" t="s">
        <v>6</v>
      </c>
      <c r="E21" s="18" t="s">
        <v>6</v>
      </c>
      <c r="F21" s="19" t="s">
        <v>6</v>
      </c>
    </row>
    <row r="22" spans="1:6" ht="15.75">
      <c r="A22" s="2" t="s">
        <v>19</v>
      </c>
      <c r="B22" s="156">
        <f>+B18+B20</f>
        <v>1</v>
      </c>
      <c r="C22" s="2" t="s">
        <v>6</v>
      </c>
      <c r="D22" s="2" t="s">
        <v>6</v>
      </c>
      <c r="E22" s="15" t="s">
        <v>6</v>
      </c>
      <c r="F22" s="54">
        <f>+F18+F20</f>
        <v>0.10886422</v>
      </c>
    </row>
    <row r="23" spans="1:6" ht="15.75">
      <c r="A23" s="24"/>
      <c r="B23" s="24"/>
      <c r="C23" s="24"/>
      <c r="D23" s="24"/>
      <c r="E23" s="24"/>
      <c r="F23" s="24"/>
    </row>
    <row r="24" spans="1:6" ht="15.75">
      <c r="E24" s="15" t="s">
        <v>20</v>
      </c>
      <c r="F24" s="54">
        <v>0.1089</v>
      </c>
    </row>
    <row r="25" spans="1:6">
      <c r="F25" t="s">
        <v>6</v>
      </c>
    </row>
  </sheetData>
  <pageMargins left="0.25" right="0.25" top="0.75" bottom="0.75" header="0.3" footer="0.3"/>
  <pageSetup scale="83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A1:L59"/>
  <sheetViews>
    <sheetView zoomScale="82" zoomScaleNormal="82" zoomScalePageLayoutView="70" workbookViewId="0">
      <pane xSplit="1" topLeftCell="B1" activePane="topRight" state="frozen"/>
      <selection activeCell="D9" sqref="D9"/>
      <selection pane="topRight" activeCell="F14" sqref="F14"/>
    </sheetView>
  </sheetViews>
  <sheetFormatPr defaultRowHeight="15"/>
  <cols>
    <col min="1" max="1" width="54.5703125" customWidth="1"/>
    <col min="2" max="2" width="10.85546875" bestFit="1" customWidth="1"/>
    <col min="3" max="3" width="24.140625" customWidth="1"/>
    <col min="4" max="4" width="20.140625" customWidth="1"/>
    <col min="5" max="5" width="18" customWidth="1"/>
    <col min="6" max="6" width="20.5703125" customWidth="1"/>
    <col min="7" max="7" width="22.5703125" customWidth="1"/>
    <col min="8" max="8" width="25.140625" customWidth="1"/>
    <col min="9" max="9" width="24.28515625" customWidth="1"/>
    <col min="10" max="10" width="22.28515625" customWidth="1"/>
    <col min="11" max="11" width="28" customWidth="1"/>
    <col min="12" max="12" width="23.42578125" bestFit="1" customWidth="1"/>
    <col min="13" max="13" width="30.140625" bestFit="1" customWidth="1"/>
    <col min="14" max="14" width="9.140625" customWidth="1"/>
  </cols>
  <sheetData>
    <row r="1" spans="1:11" ht="21">
      <c r="A1" s="326" t="s">
        <v>0</v>
      </c>
    </row>
    <row r="2" spans="1:11" ht="15.75">
      <c r="A2" s="24" t="s">
        <v>1</v>
      </c>
      <c r="H2" t="s">
        <v>214</v>
      </c>
    </row>
    <row r="3" spans="1:11">
      <c r="A3" s="198" t="s">
        <v>2</v>
      </c>
      <c r="H3" t="s">
        <v>6</v>
      </c>
    </row>
    <row r="4" spans="1:11">
      <c r="E4" s="4"/>
      <c r="H4" t="s">
        <v>6</v>
      </c>
      <c r="K4" t="s">
        <v>6</v>
      </c>
    </row>
    <row r="5" spans="1:11">
      <c r="A5" s="25" t="s">
        <v>21</v>
      </c>
      <c r="E5" s="4"/>
    </row>
    <row r="6" spans="1:11">
      <c r="H6" t="s">
        <v>6</v>
      </c>
    </row>
    <row r="7" spans="1:11" ht="15.75" thickBot="1">
      <c r="A7" s="28"/>
      <c r="B7" s="28"/>
      <c r="C7" s="28"/>
      <c r="D7" s="28"/>
      <c r="E7" s="28"/>
      <c r="F7" s="28"/>
      <c r="G7" s="28"/>
      <c r="H7" s="22" t="s">
        <v>6</v>
      </c>
      <c r="I7" s="28"/>
      <c r="J7" s="28"/>
      <c r="K7" s="28"/>
    </row>
    <row r="8" spans="1:11" ht="20.25">
      <c r="A8" s="31" t="s">
        <v>370</v>
      </c>
      <c r="B8" s="28"/>
      <c r="C8" s="28"/>
      <c r="D8" s="28"/>
      <c r="E8" s="28"/>
      <c r="F8" s="28"/>
      <c r="G8" s="28"/>
      <c r="H8" s="376" t="s">
        <v>6</v>
      </c>
      <c r="I8" s="28" t="s">
        <v>6</v>
      </c>
      <c r="J8" s="28"/>
      <c r="K8" s="28"/>
    </row>
    <row r="9" spans="1:11" ht="15.75" thickBot="1">
      <c r="A9" s="32" t="s">
        <v>6</v>
      </c>
      <c r="B9" s="33" t="s">
        <v>6</v>
      </c>
      <c r="C9" s="33" t="s">
        <v>6</v>
      </c>
      <c r="D9" s="33"/>
      <c r="E9" s="33"/>
      <c r="F9" s="33"/>
      <c r="G9" s="33" t="s">
        <v>6</v>
      </c>
      <c r="H9" s="34"/>
      <c r="I9" s="34"/>
      <c r="J9" s="34"/>
    </row>
    <row r="10" spans="1:11" ht="15.75">
      <c r="A10" s="117"/>
      <c r="B10" s="117"/>
      <c r="C10" s="117"/>
      <c r="D10" s="117"/>
      <c r="E10" s="290"/>
      <c r="F10" s="117"/>
      <c r="G10" s="290"/>
      <c r="H10" s="36" t="s">
        <v>23</v>
      </c>
      <c r="I10" s="291"/>
      <c r="J10" s="291"/>
    </row>
    <row r="11" spans="1:11" ht="15.75">
      <c r="A11" s="35"/>
      <c r="B11" s="35"/>
      <c r="C11" s="35"/>
      <c r="D11" s="40" t="s">
        <v>30</v>
      </c>
      <c r="E11" s="212" t="s">
        <v>30</v>
      </c>
      <c r="F11" s="40" t="s">
        <v>30</v>
      </c>
      <c r="G11" s="211"/>
      <c r="H11" s="36" t="s">
        <v>26</v>
      </c>
      <c r="I11" s="213" t="s">
        <v>23</v>
      </c>
      <c r="J11" s="213" t="s">
        <v>23</v>
      </c>
    </row>
    <row r="12" spans="1:11" ht="15.75">
      <c r="A12" s="35" t="s">
        <v>6</v>
      </c>
      <c r="B12" s="35" t="s">
        <v>27</v>
      </c>
      <c r="C12" s="35" t="s">
        <v>28</v>
      </c>
      <c r="D12" s="40" t="s">
        <v>29</v>
      </c>
      <c r="E12" s="212" t="s">
        <v>29</v>
      </c>
      <c r="F12" s="40" t="s">
        <v>25</v>
      </c>
      <c r="G12" s="213" t="s">
        <v>23</v>
      </c>
      <c r="H12" s="35" t="s">
        <v>31</v>
      </c>
      <c r="I12" s="211" t="s">
        <v>32</v>
      </c>
      <c r="J12" s="215" t="s">
        <v>47</v>
      </c>
    </row>
    <row r="13" spans="1:11" ht="16.5" thickBot="1">
      <c r="A13" s="38" t="s">
        <v>34</v>
      </c>
      <c r="B13" s="38" t="s">
        <v>35</v>
      </c>
      <c r="C13" s="38" t="s">
        <v>36</v>
      </c>
      <c r="D13" s="38" t="s">
        <v>37</v>
      </c>
      <c r="E13" s="217" t="s">
        <v>38</v>
      </c>
      <c r="F13" s="38" t="s">
        <v>29</v>
      </c>
      <c r="G13" s="217" t="s">
        <v>29</v>
      </c>
      <c r="H13" s="41" t="s">
        <v>39</v>
      </c>
      <c r="I13" s="217" t="s">
        <v>40</v>
      </c>
      <c r="J13" s="217" t="s">
        <v>40</v>
      </c>
    </row>
    <row r="14" spans="1:11" ht="15.75">
      <c r="A14" s="42" t="s">
        <v>41</v>
      </c>
      <c r="B14" s="42" t="s">
        <v>41</v>
      </c>
      <c r="C14" s="42" t="s">
        <v>41</v>
      </c>
      <c r="D14" s="42" t="s">
        <v>95</v>
      </c>
      <c r="E14" s="219" t="s">
        <v>95</v>
      </c>
      <c r="F14" s="42"/>
      <c r="G14" s="219" t="s">
        <v>41</v>
      </c>
      <c r="H14" s="42" t="s">
        <v>42</v>
      </c>
      <c r="I14" s="219" t="s">
        <v>42</v>
      </c>
      <c r="J14" s="219" t="s">
        <v>42</v>
      </c>
    </row>
    <row r="15" spans="1:11" ht="15.75">
      <c r="A15" s="159" t="s">
        <v>329</v>
      </c>
      <c r="B15" s="80" t="s">
        <v>330</v>
      </c>
      <c r="C15" s="121" t="s">
        <v>331</v>
      </c>
      <c r="D15" s="46">
        <v>18.739999999999998</v>
      </c>
      <c r="E15" s="227">
        <v>18.05</v>
      </c>
      <c r="F15" s="46">
        <f t="shared" ref="F15:F24" si="0">AVERAGE(D15,E15)</f>
        <v>18.395</v>
      </c>
      <c r="G15" s="227">
        <v>18.52</v>
      </c>
      <c r="H15" s="47">
        <v>208351528</v>
      </c>
      <c r="I15" s="228">
        <f>(489+156+106+27)*1000000</f>
        <v>778000000</v>
      </c>
      <c r="J15" s="228">
        <f>(505+5119)*1000000</f>
        <v>5624000000</v>
      </c>
    </row>
    <row r="16" spans="1:11" ht="15.75">
      <c r="A16" s="159" t="s">
        <v>332</v>
      </c>
      <c r="B16" s="80" t="s">
        <v>333</v>
      </c>
      <c r="C16" s="121" t="s">
        <v>331</v>
      </c>
      <c r="D16" s="46">
        <v>5.37</v>
      </c>
      <c r="E16" s="227">
        <v>5.18</v>
      </c>
      <c r="F16" s="46">
        <f t="shared" si="0"/>
        <v>5.2750000000000004</v>
      </c>
      <c r="G16" s="227">
        <v>5.26</v>
      </c>
      <c r="H16" s="47">
        <v>435549892</v>
      </c>
      <c r="I16" s="228">
        <v>14520000</v>
      </c>
      <c r="J16" s="228">
        <f>3951000000+250000000</f>
        <v>4201000000</v>
      </c>
    </row>
    <row r="17" spans="1:12" ht="15.75">
      <c r="A17" s="159" t="s">
        <v>371</v>
      </c>
      <c r="B17" s="80" t="s">
        <v>372</v>
      </c>
      <c r="C17" s="121" t="s">
        <v>331</v>
      </c>
      <c r="D17" s="46">
        <v>6.19</v>
      </c>
      <c r="E17" s="227">
        <v>6.06</v>
      </c>
      <c r="F17" s="46">
        <f t="shared" si="0"/>
        <v>6.125</v>
      </c>
      <c r="G17" s="227">
        <v>6.18</v>
      </c>
      <c r="H17" s="47">
        <v>2702372154</v>
      </c>
      <c r="I17" s="228">
        <v>0</v>
      </c>
      <c r="J17" s="228">
        <f>(51438)*1000000</f>
        <v>51438000000</v>
      </c>
    </row>
    <row r="18" spans="1:12" ht="17.25" customHeight="1">
      <c r="A18" s="201" t="s">
        <v>373</v>
      </c>
      <c r="B18" s="135" t="s">
        <v>340</v>
      </c>
      <c r="C18" s="14" t="s">
        <v>331</v>
      </c>
      <c r="D18" s="46">
        <v>19.71</v>
      </c>
      <c r="E18" s="227">
        <v>19.38</v>
      </c>
      <c r="F18" s="46">
        <f t="shared" si="0"/>
        <v>19.545000000000002</v>
      </c>
      <c r="G18" s="227">
        <v>19.59</v>
      </c>
      <c r="H18" s="122">
        <v>2182308958</v>
      </c>
      <c r="I18" s="228">
        <v>0</v>
      </c>
      <c r="J18" s="377">
        <f>(1325+28540.7)*1000000</f>
        <v>29865700000</v>
      </c>
    </row>
    <row r="19" spans="1:12" ht="15.75">
      <c r="A19" s="201" t="s">
        <v>374</v>
      </c>
      <c r="B19" s="135" t="s">
        <v>375</v>
      </c>
      <c r="C19" s="14" t="s">
        <v>331</v>
      </c>
      <c r="D19" s="46">
        <v>14.27</v>
      </c>
      <c r="E19" s="227">
        <v>13.46</v>
      </c>
      <c r="F19" s="46">
        <f t="shared" si="0"/>
        <v>13.865</v>
      </c>
      <c r="G19" s="227">
        <v>14.2</v>
      </c>
      <c r="H19" s="122">
        <v>105440201</v>
      </c>
      <c r="I19" s="228">
        <f>52850000</f>
        <v>52850000</v>
      </c>
      <c r="J19" s="377">
        <v>1405603000</v>
      </c>
    </row>
    <row r="20" spans="1:12" ht="15.75">
      <c r="A20" s="24" t="s">
        <v>376</v>
      </c>
      <c r="B20" s="3" t="s">
        <v>377</v>
      </c>
      <c r="C20" s="14" t="s">
        <v>331</v>
      </c>
      <c r="D20" s="46">
        <v>42.65</v>
      </c>
      <c r="E20" s="227">
        <v>41.69</v>
      </c>
      <c r="F20" s="46">
        <f t="shared" si="0"/>
        <v>42.17</v>
      </c>
      <c r="G20" s="227">
        <v>42.44</v>
      </c>
      <c r="H20" s="122">
        <v>223120000</v>
      </c>
      <c r="I20" s="228">
        <v>0</v>
      </c>
      <c r="J20" s="378">
        <v>4978691000</v>
      </c>
    </row>
    <row r="21" spans="1:12" ht="15.75">
      <c r="A21" s="201" t="s">
        <v>378</v>
      </c>
      <c r="B21" s="3" t="s">
        <v>379</v>
      </c>
      <c r="C21" s="14" t="s">
        <v>331</v>
      </c>
      <c r="D21" s="46">
        <v>21.83</v>
      </c>
      <c r="E21" s="227">
        <v>21.45</v>
      </c>
      <c r="F21" s="46">
        <f t="shared" si="0"/>
        <v>21.64</v>
      </c>
      <c r="G21" s="227">
        <v>21.65</v>
      </c>
      <c r="H21" s="47">
        <f>1038777978+600000</f>
        <v>1039377978</v>
      </c>
      <c r="I21" s="228">
        <f>968000000</f>
        <v>968000000</v>
      </c>
      <c r="J21" s="228">
        <v>19375000000</v>
      </c>
    </row>
    <row r="22" spans="1:12" ht="15.75">
      <c r="A22" s="201" t="s">
        <v>380</v>
      </c>
      <c r="B22" s="3" t="s">
        <v>381</v>
      </c>
      <c r="C22" s="14" t="s">
        <v>331</v>
      </c>
      <c r="D22" s="46">
        <v>14.79</v>
      </c>
      <c r="E22" s="227">
        <v>14.15</v>
      </c>
      <c r="F22" s="46">
        <f t="shared" si="0"/>
        <v>14.469999999999999</v>
      </c>
      <c r="G22" s="227">
        <v>14.41</v>
      </c>
      <c r="H22" s="47">
        <v>109468127</v>
      </c>
      <c r="I22" s="228">
        <f>(599542+218307+371476+166518)*1000</f>
        <v>1355843000</v>
      </c>
      <c r="J22" s="228">
        <f>3593496000+3839000</f>
        <v>3597335000</v>
      </c>
    </row>
    <row r="23" spans="1:12" ht="15.75">
      <c r="A23" s="24" t="s">
        <v>382</v>
      </c>
      <c r="B23" s="3" t="s">
        <v>383</v>
      </c>
      <c r="C23" s="14" t="s">
        <v>331</v>
      </c>
      <c r="D23" s="46">
        <v>26.94</v>
      </c>
      <c r="E23" s="227">
        <v>26.15</v>
      </c>
      <c r="F23" s="46">
        <f t="shared" si="0"/>
        <v>26.545000000000002</v>
      </c>
      <c r="G23" s="227">
        <v>26.41</v>
      </c>
      <c r="H23" s="145">
        <f>58580009+169760137</f>
        <v>228340146</v>
      </c>
      <c r="I23" s="228">
        <v>749000000</v>
      </c>
      <c r="J23" s="228">
        <f>(3444)*1000000</f>
        <v>3444000000</v>
      </c>
    </row>
    <row r="24" spans="1:12" ht="16.5" thickBot="1">
      <c r="A24" s="429" t="s">
        <v>384</v>
      </c>
      <c r="B24" s="7" t="s">
        <v>385</v>
      </c>
      <c r="C24" s="237" t="s">
        <v>331</v>
      </c>
      <c r="D24" s="267">
        <v>8.43</v>
      </c>
      <c r="E24" s="240">
        <v>8.2200000000000006</v>
      </c>
      <c r="F24" s="267">
        <f t="shared" si="0"/>
        <v>8.3249999999999993</v>
      </c>
      <c r="G24" s="240">
        <v>8.24</v>
      </c>
      <c r="H24" s="129">
        <v>722380416</v>
      </c>
      <c r="I24" s="241">
        <f>(787+1505)*1000000</f>
        <v>2292000000</v>
      </c>
      <c r="J24" s="241">
        <f>9071000000+311000000</f>
        <v>9382000000</v>
      </c>
    </row>
    <row r="25" spans="1:12" ht="15.75">
      <c r="A25" s="49"/>
      <c r="B25" s="49"/>
      <c r="C25" s="49"/>
      <c r="D25" s="49"/>
      <c r="E25" s="49"/>
      <c r="F25" s="49"/>
      <c r="G25" s="49"/>
      <c r="H25" s="49"/>
      <c r="I25" s="49"/>
      <c r="J25" s="49"/>
    </row>
    <row r="26" spans="1:12" ht="15.75">
      <c r="A26" s="50" t="s">
        <v>6</v>
      </c>
      <c r="B26" s="49"/>
      <c r="C26" s="49"/>
      <c r="D26" s="49"/>
      <c r="E26" s="49"/>
      <c r="F26" s="49"/>
      <c r="G26" s="49"/>
      <c r="H26" s="49"/>
      <c r="I26" s="49"/>
      <c r="J26" t="s">
        <v>6</v>
      </c>
      <c r="K26" s="49" t="s">
        <v>6</v>
      </c>
      <c r="L26" s="49"/>
    </row>
    <row r="27" spans="1:12" ht="15.75">
      <c r="A27" s="35"/>
      <c r="B27" s="35"/>
      <c r="C27" s="35"/>
      <c r="D27" s="36" t="s">
        <v>23</v>
      </c>
      <c r="E27" s="36" t="s">
        <v>23</v>
      </c>
      <c r="F27" s="36" t="s">
        <v>23</v>
      </c>
      <c r="G27" s="36" t="s">
        <v>23</v>
      </c>
      <c r="H27" s="36" t="s">
        <v>23</v>
      </c>
      <c r="I27" s="36" t="s">
        <v>23</v>
      </c>
      <c r="K27" t="s">
        <v>6</v>
      </c>
      <c r="L27" s="49"/>
    </row>
    <row r="28" spans="1:12" ht="15.75">
      <c r="A28" s="35" t="s">
        <v>6</v>
      </c>
      <c r="B28" s="35" t="s">
        <v>27</v>
      </c>
      <c r="C28" s="35" t="s">
        <v>28</v>
      </c>
      <c r="D28" s="35" t="s">
        <v>26</v>
      </c>
      <c r="E28" s="35" t="s">
        <v>32</v>
      </c>
      <c r="F28" s="37" t="s">
        <v>201</v>
      </c>
      <c r="G28" s="37" t="s">
        <v>48</v>
      </c>
      <c r="H28" s="37" t="s">
        <v>49</v>
      </c>
      <c r="I28" s="37" t="s">
        <v>50</v>
      </c>
      <c r="K28" t="s">
        <v>6</v>
      </c>
      <c r="L28" s="49"/>
    </row>
    <row r="29" spans="1:12" ht="16.5" thickBot="1">
      <c r="A29" s="38" t="s">
        <v>34</v>
      </c>
      <c r="B29" s="38" t="s">
        <v>35</v>
      </c>
      <c r="C29" s="38" t="s">
        <v>36</v>
      </c>
      <c r="D29" s="38" t="s">
        <v>51</v>
      </c>
      <c r="E29" s="38" t="s">
        <v>51</v>
      </c>
      <c r="F29" s="38" t="s">
        <v>51</v>
      </c>
      <c r="G29" s="38" t="s">
        <v>52</v>
      </c>
      <c r="H29" s="38" t="s">
        <v>6</v>
      </c>
      <c r="I29" s="38" t="s">
        <v>6</v>
      </c>
      <c r="L29" s="49"/>
    </row>
    <row r="30" spans="1:12" ht="15.75">
      <c r="A30" s="42" t="s">
        <v>41</v>
      </c>
      <c r="B30" s="42" t="s">
        <v>41</v>
      </c>
      <c r="C30" s="42" t="s">
        <v>41</v>
      </c>
      <c r="D30" s="42" t="s">
        <v>53</v>
      </c>
      <c r="E30" s="42" t="s">
        <v>42</v>
      </c>
      <c r="F30" s="42" t="s">
        <v>42</v>
      </c>
      <c r="G30" s="42" t="s">
        <v>53</v>
      </c>
      <c r="H30" s="42" t="s">
        <v>53</v>
      </c>
      <c r="I30" s="42" t="s">
        <v>53</v>
      </c>
      <c r="K30" t="s">
        <v>6</v>
      </c>
      <c r="L30" s="49" t="s">
        <v>6</v>
      </c>
    </row>
    <row r="31" spans="1:12" ht="15.75">
      <c r="A31" s="379" t="str">
        <f t="shared" ref="A31:C32" si="1">+A15</f>
        <v>DCP Midstream LP</v>
      </c>
      <c r="B31" s="224" t="str">
        <f t="shared" si="1"/>
        <v>DCP</v>
      </c>
      <c r="C31" s="224" t="str">
        <f t="shared" si="1"/>
        <v>Pipeline MLPs</v>
      </c>
      <c r="D31" s="145">
        <f t="shared" ref="D31:D40" si="2">(+H15)*G15</f>
        <v>3858670298.5599999</v>
      </c>
      <c r="E31" s="52">
        <f>(1/1)*I15</f>
        <v>778000000</v>
      </c>
      <c r="F31" s="47">
        <f>(5938/5635)*J15</f>
        <v>5926408518.1898842</v>
      </c>
      <c r="G31" s="232">
        <f>+D31+E31+F31</f>
        <v>10563078816.749884</v>
      </c>
      <c r="H31" s="54">
        <f t="shared" ref="H31:H40" si="3">(+D31)/G31</f>
        <v>0.3652978800500194</v>
      </c>
      <c r="I31" s="54">
        <f>(+E31+F31)/G31</f>
        <v>0.6347021199499806</v>
      </c>
      <c r="K31" t="s">
        <v>6</v>
      </c>
      <c r="L31" s="49"/>
    </row>
    <row r="32" spans="1:12" ht="15.75">
      <c r="A32" s="379" t="str">
        <f t="shared" si="1"/>
        <v>Enable Midstream Partners LP</v>
      </c>
      <c r="B32" s="224" t="str">
        <f t="shared" si="1"/>
        <v>ENBL</v>
      </c>
      <c r="C32" s="224" t="str">
        <f t="shared" si="1"/>
        <v>Pipeline MLPs</v>
      </c>
      <c r="D32" s="145">
        <f t="shared" si="2"/>
        <v>2290992431.9200001</v>
      </c>
      <c r="E32" s="52">
        <f>(390/399)*I16</f>
        <v>14192481.203007517</v>
      </c>
      <c r="F32" s="47">
        <f>((800+612+709+817+544+499)/(800+600+698+795+546+531))*J16</f>
        <v>4212640050.3778338</v>
      </c>
      <c r="G32" s="232">
        <f t="shared" ref="G32:G40" si="4">+D32+E32+F32</f>
        <v>6517824963.5008411</v>
      </c>
      <c r="H32" s="54">
        <f>(+D32)/G32</f>
        <v>0.35149646465643453</v>
      </c>
      <c r="I32" s="54">
        <f>(+E32+F32)/G32</f>
        <v>0.64850353534356553</v>
      </c>
      <c r="L32" s="49"/>
    </row>
    <row r="33" spans="1:12" ht="15.75">
      <c r="A33" s="159" t="s">
        <v>371</v>
      </c>
      <c r="B33" s="80" t="s">
        <v>372</v>
      </c>
      <c r="C33" s="121" t="s">
        <v>331</v>
      </c>
      <c r="D33" s="145">
        <f t="shared" si="2"/>
        <v>16700659911.719999</v>
      </c>
      <c r="E33" s="52">
        <f t="shared" ref="E33:E40" si="5">(1/1)*I17</f>
        <v>0</v>
      </c>
      <c r="F33" s="47">
        <f>(56.21/51.44)*J17</f>
        <v>56207814541.213074</v>
      </c>
      <c r="G33" s="232">
        <f t="shared" si="4"/>
        <v>72908474452.933075</v>
      </c>
      <c r="H33" s="54">
        <f>(+D33)/G33</f>
        <v>0.22906335699701558</v>
      </c>
      <c r="I33" s="54">
        <f>(+E33+F33)/G33</f>
        <v>0.77093664300298437</v>
      </c>
      <c r="L33" s="49"/>
    </row>
    <row r="34" spans="1:12" ht="15.75">
      <c r="A34" s="379" t="str">
        <f t="shared" ref="A34:C40" si="6">+A18</f>
        <v>Enterprise Products Partnership</v>
      </c>
      <c r="B34" s="224" t="str">
        <f t="shared" si="6"/>
        <v>EPD</v>
      </c>
      <c r="C34" s="224" t="str">
        <f t="shared" si="6"/>
        <v>Pipeline MLPs</v>
      </c>
      <c r="D34" s="145">
        <f t="shared" si="2"/>
        <v>42751432487.220001</v>
      </c>
      <c r="E34" s="52">
        <f t="shared" si="5"/>
        <v>0</v>
      </c>
      <c r="F34" s="47">
        <f>(35/29.9)*J18</f>
        <v>34959849498.327759</v>
      </c>
      <c r="G34" s="232">
        <f t="shared" si="4"/>
        <v>77711281985.54776</v>
      </c>
      <c r="H34" s="54">
        <f t="shared" si="3"/>
        <v>0.5501316075981173</v>
      </c>
      <c r="I34" s="54">
        <f t="shared" ref="I34:I40" si="7">(+E34+F34)/G34</f>
        <v>0.4498683924018827</v>
      </c>
      <c r="L34" s="49"/>
    </row>
    <row r="35" spans="1:12" ht="15.75">
      <c r="A35" s="379" t="str">
        <f t="shared" si="6"/>
        <v>Holly Energy Partners LP</v>
      </c>
      <c r="B35" s="224" t="str">
        <f t="shared" si="6"/>
        <v>HEP</v>
      </c>
      <c r="C35" s="224" t="str">
        <f t="shared" si="6"/>
        <v>Pipeline MLPs</v>
      </c>
      <c r="D35" s="145">
        <f t="shared" si="2"/>
        <v>1497250854.1999998</v>
      </c>
      <c r="E35" s="52">
        <f t="shared" si="5"/>
        <v>52850000</v>
      </c>
      <c r="F35" s="47">
        <f>(506540/492103)*J19</f>
        <v>1446839673.0359294</v>
      </c>
      <c r="G35" s="232">
        <f t="shared" si="4"/>
        <v>2996940527.2359295</v>
      </c>
      <c r="H35" s="54">
        <f t="shared" si="3"/>
        <v>0.49959311524306771</v>
      </c>
      <c r="I35" s="54">
        <f t="shared" si="7"/>
        <v>0.50040688475693218</v>
      </c>
      <c r="L35" s="49"/>
    </row>
    <row r="36" spans="1:12" ht="15.75">
      <c r="A36" s="379" t="str">
        <f t="shared" si="6"/>
        <v>Magellan Midstream Partners</v>
      </c>
      <c r="B36" s="224" t="str">
        <f t="shared" si="6"/>
        <v>MMP</v>
      </c>
      <c r="C36" s="224" t="str">
        <f t="shared" si="6"/>
        <v>Pipeline MLPs</v>
      </c>
      <c r="D36" s="145">
        <f t="shared" si="2"/>
        <v>9469212800</v>
      </c>
      <c r="E36" s="52">
        <f t="shared" si="5"/>
        <v>0</v>
      </c>
      <c r="F36" s="47">
        <f>(5880850/4978691)*J20</f>
        <v>5880850000</v>
      </c>
      <c r="G36" s="232">
        <f t="shared" si="4"/>
        <v>15350062800</v>
      </c>
      <c r="H36" s="54">
        <f t="shared" si="3"/>
        <v>0.61688430356128576</v>
      </c>
      <c r="I36" s="54">
        <f t="shared" si="7"/>
        <v>0.38311569643871424</v>
      </c>
      <c r="L36" s="49"/>
    </row>
    <row r="37" spans="1:12" ht="15.75">
      <c r="A37" s="379" t="str">
        <f t="shared" si="6"/>
        <v>MPLX, LP</v>
      </c>
      <c r="B37" s="224" t="str">
        <f t="shared" si="6"/>
        <v>MPLX</v>
      </c>
      <c r="C37" s="224" t="str">
        <f t="shared" si="6"/>
        <v>Pipeline MLPs</v>
      </c>
      <c r="D37" s="145">
        <f t="shared" si="2"/>
        <v>22502533223.699997</v>
      </c>
      <c r="E37" s="52">
        <f t="shared" si="5"/>
        <v>968000000</v>
      </c>
      <c r="F37" s="47">
        <f>(22951/20244)*J21</f>
        <v>21965798508.199959</v>
      </c>
      <c r="G37" s="232">
        <f t="shared" si="4"/>
        <v>45436331731.899956</v>
      </c>
      <c r="H37" s="54">
        <f t="shared" si="3"/>
        <v>0.49525418021150264</v>
      </c>
      <c r="I37" s="54">
        <f t="shared" si="7"/>
        <v>0.50474581978849731</v>
      </c>
      <c r="L37" s="49"/>
    </row>
    <row r="38" spans="1:12" ht="15.75">
      <c r="A38" s="379" t="str">
        <f t="shared" si="6"/>
        <v>NuStar Energy LP</v>
      </c>
      <c r="B38" s="224" t="str">
        <f t="shared" si="6"/>
        <v>NS</v>
      </c>
      <c r="C38" s="224" t="str">
        <f t="shared" si="6"/>
        <v>Pipeline MLPs</v>
      </c>
      <c r="D38" s="145">
        <f t="shared" si="2"/>
        <v>1577435710.0699999</v>
      </c>
      <c r="E38" s="52">
        <f t="shared" si="5"/>
        <v>1355843000</v>
      </c>
      <c r="F38" s="47">
        <f>(3799378/3539258)*J22</f>
        <v>3861723405.7618856</v>
      </c>
      <c r="G38" s="232">
        <f t="shared" si="4"/>
        <v>6795002115.8318853</v>
      </c>
      <c r="H38" s="54">
        <f t="shared" si="3"/>
        <v>0.2321464634123783</v>
      </c>
      <c r="I38" s="54">
        <f t="shared" si="7"/>
        <v>0.76785353658762168</v>
      </c>
      <c r="L38" s="49"/>
    </row>
    <row r="39" spans="1:12" ht="15.75">
      <c r="A39" s="379" t="str">
        <f t="shared" si="6"/>
        <v>Phillips 66 Partners LP</v>
      </c>
      <c r="B39" s="224" t="str">
        <f t="shared" si="6"/>
        <v>PSXP</v>
      </c>
      <c r="C39" s="224" t="str">
        <f t="shared" si="6"/>
        <v>Pipeline MLPs</v>
      </c>
      <c r="D39" s="145">
        <f t="shared" si="2"/>
        <v>6030463255.8599997</v>
      </c>
      <c r="E39" s="52">
        <f t="shared" si="5"/>
        <v>749000000</v>
      </c>
      <c r="F39" s="47">
        <f>((3752+465)/3444)*J23</f>
        <v>4217000000</v>
      </c>
      <c r="G39" s="232">
        <f t="shared" si="4"/>
        <v>10996463255.860001</v>
      </c>
      <c r="H39" s="54">
        <f t="shared" si="3"/>
        <v>0.54840025520445168</v>
      </c>
      <c r="I39" s="54">
        <f t="shared" si="7"/>
        <v>0.45159974479554826</v>
      </c>
      <c r="L39" s="49"/>
    </row>
    <row r="40" spans="1:12" ht="16.5" thickBot="1">
      <c r="A40" s="428" t="str">
        <f t="shared" si="6"/>
        <v>Plains All American Pipeline LP</v>
      </c>
      <c r="B40" s="17" t="str">
        <f t="shared" si="6"/>
        <v>PAA</v>
      </c>
      <c r="C40" s="17" t="str">
        <f t="shared" si="6"/>
        <v>Pipeline MLPs</v>
      </c>
      <c r="D40" s="126">
        <f t="shared" si="2"/>
        <v>5952414627.8400002</v>
      </c>
      <c r="E40" s="127">
        <f t="shared" si="5"/>
        <v>2292000000</v>
      </c>
      <c r="F40" s="129">
        <f>(9.9/9.1)*J24</f>
        <v>10206791208.79121</v>
      </c>
      <c r="G40" s="380">
        <f t="shared" si="4"/>
        <v>18451205836.63121</v>
      </c>
      <c r="H40" s="130">
        <f t="shared" si="3"/>
        <v>0.32260301470501518</v>
      </c>
      <c r="I40" s="130">
        <f t="shared" si="7"/>
        <v>0.67739698529498482</v>
      </c>
      <c r="L40" s="49"/>
    </row>
    <row r="41" spans="1:12" ht="15.75">
      <c r="C41" s="132" t="s">
        <v>6</v>
      </c>
      <c r="D41" s="87" t="s">
        <v>6</v>
      </c>
      <c r="F41" s="87" t="s">
        <v>6</v>
      </c>
      <c r="G41" s="58" t="s">
        <v>55</v>
      </c>
      <c r="H41" s="194" t="s">
        <v>386</v>
      </c>
      <c r="I41" s="194" t="s">
        <v>387</v>
      </c>
    </row>
    <row r="42" spans="1:12" ht="15.75">
      <c r="C42" s="132" t="s">
        <v>6</v>
      </c>
      <c r="D42" s="133" t="s">
        <v>6</v>
      </c>
      <c r="F42" s="22" t="s">
        <v>6</v>
      </c>
      <c r="G42" s="58" t="s">
        <v>57</v>
      </c>
      <c r="H42" s="54">
        <f>MEDIAN(H31:H40)</f>
        <v>0.43027603013076099</v>
      </c>
      <c r="I42" s="54">
        <f>MEDIAN(I31:I40)</f>
        <v>0.5697239698692389</v>
      </c>
    </row>
    <row r="43" spans="1:12" ht="15.75">
      <c r="A43" s="73" t="s">
        <v>6</v>
      </c>
      <c r="C43" s="132" t="s">
        <v>6</v>
      </c>
      <c r="D43" s="133" t="s">
        <v>6</v>
      </c>
      <c r="E43" s="73" t="s">
        <v>6</v>
      </c>
      <c r="F43" s="22" t="s">
        <v>6</v>
      </c>
      <c r="G43" s="58" t="s">
        <v>25</v>
      </c>
      <c r="H43" s="54">
        <f>AVERAGE(H31:H40)</f>
        <v>0.42108706416392883</v>
      </c>
      <c r="I43" s="54">
        <f>AVERAGE(I31:I40)</f>
        <v>0.57891293583607129</v>
      </c>
    </row>
    <row r="44" spans="1:12" ht="15.75">
      <c r="G44" s="24"/>
      <c r="H44" s="24"/>
      <c r="I44" s="24"/>
    </row>
    <row r="45" spans="1:12" ht="21">
      <c r="G45" s="61" t="s">
        <v>20</v>
      </c>
      <c r="H45" s="340">
        <v>0.43</v>
      </c>
      <c r="I45" s="340">
        <v>0.56999999999999995</v>
      </c>
    </row>
    <row r="46" spans="1:12" ht="15.75">
      <c r="H46" s="341"/>
      <c r="I46" s="24"/>
      <c r="J46" s="24"/>
    </row>
    <row r="51" spans="9:10" ht="15.75">
      <c r="J51" s="12"/>
    </row>
    <row r="52" spans="9:10" ht="15.75">
      <c r="J52" s="12"/>
    </row>
    <row r="53" spans="9:10" ht="15.75">
      <c r="J53" s="12"/>
    </row>
    <row r="54" spans="9:10" ht="15.75">
      <c r="I54" s="12"/>
      <c r="J54" s="12"/>
    </row>
    <row r="55" spans="9:10" ht="15.75">
      <c r="I55" s="12"/>
      <c r="J55" s="12"/>
    </row>
    <row r="56" spans="9:10" ht="15.75">
      <c r="I56" s="12"/>
      <c r="J56" s="12"/>
    </row>
    <row r="57" spans="9:10" ht="15.75">
      <c r="I57" s="12"/>
      <c r="J57" s="12"/>
    </row>
    <row r="58" spans="9:10" ht="15.75">
      <c r="I58" s="12"/>
      <c r="J58" s="12"/>
    </row>
    <row r="59" spans="9:10" ht="15.75">
      <c r="I59" s="12"/>
      <c r="J59" s="12"/>
    </row>
  </sheetData>
  <pageMargins left="0.25" right="0.25" top="0.75" bottom="0.75" header="0.3" footer="0.3"/>
  <pageSetup scale="44" orientation="landscape" r:id="rId1"/>
  <rowBreaks count="1" manualBreakCount="1">
    <brk id="46" max="10" man="1"/>
  </rowBreaks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A1:K26"/>
  <sheetViews>
    <sheetView zoomScaleNormal="100" workbookViewId="0">
      <selection activeCell="D9" sqref="D9"/>
    </sheetView>
  </sheetViews>
  <sheetFormatPr defaultRowHeight="15"/>
  <cols>
    <col min="1" max="1" width="45.140625" customWidth="1"/>
    <col min="2" max="2" width="10.85546875" bestFit="1" customWidth="1"/>
    <col min="3" max="3" width="24.28515625" customWidth="1"/>
    <col min="4" max="5" width="14.140625" customWidth="1"/>
    <col min="6" max="6" width="11.140625" customWidth="1"/>
    <col min="7" max="7" width="13" customWidth="1"/>
    <col min="8" max="8" width="17.42578125" customWidth="1"/>
    <col min="9" max="9" width="20" customWidth="1"/>
    <col min="10" max="10" width="17.42578125" customWidth="1"/>
  </cols>
  <sheetData>
    <row r="1" spans="1:11" ht="21">
      <c r="A1" s="23" t="s">
        <v>0</v>
      </c>
    </row>
    <row r="2" spans="1:11" ht="15.75">
      <c r="A2" s="24" t="s">
        <v>1</v>
      </c>
    </row>
    <row r="3" spans="1:11">
      <c r="A3" s="198" t="s">
        <v>2</v>
      </c>
    </row>
    <row r="4" spans="1:11">
      <c r="F4" s="4" t="s">
        <v>6</v>
      </c>
    </row>
    <row r="5" spans="1:11" ht="15.75">
      <c r="A5" s="76" t="s">
        <v>388</v>
      </c>
    </row>
    <row r="6" spans="1:11" ht="15.75" thickBot="1">
      <c r="A6" s="77" t="s">
        <v>6</v>
      </c>
      <c r="B6" s="77" t="s">
        <v>6</v>
      </c>
      <c r="C6" s="77" t="s">
        <v>6</v>
      </c>
      <c r="D6" s="77"/>
      <c r="E6" s="77"/>
      <c r="F6" s="77" t="s">
        <v>6</v>
      </c>
      <c r="G6" s="77" t="s">
        <v>6</v>
      </c>
      <c r="H6" s="77" t="s">
        <v>6</v>
      </c>
      <c r="I6" s="5"/>
    </row>
    <row r="7" spans="1:11">
      <c r="A7" s="8" t="s">
        <v>6</v>
      </c>
      <c r="B7" s="8" t="s">
        <v>27</v>
      </c>
      <c r="C7" s="8" t="s">
        <v>28</v>
      </c>
      <c r="D7" s="8" t="s">
        <v>63</v>
      </c>
      <c r="E7" s="8" t="s">
        <v>64</v>
      </c>
      <c r="F7" s="8" t="s">
        <v>65</v>
      </c>
      <c r="G7" s="120" t="s">
        <v>66</v>
      </c>
      <c r="H7" s="8" t="s">
        <v>68</v>
      </c>
      <c r="I7" s="8" t="s">
        <v>68</v>
      </c>
    </row>
    <row r="8" spans="1:11" ht="15.75" thickBot="1">
      <c r="A8" s="7" t="s">
        <v>34</v>
      </c>
      <c r="B8" s="7" t="s">
        <v>35</v>
      </c>
      <c r="C8" s="7" t="s">
        <v>36</v>
      </c>
      <c r="D8" s="7"/>
      <c r="E8" s="7" t="s">
        <v>69</v>
      </c>
      <c r="F8" s="7" t="s">
        <v>70</v>
      </c>
      <c r="G8" s="124" t="s">
        <v>71</v>
      </c>
      <c r="H8" s="7" t="s">
        <v>71</v>
      </c>
      <c r="I8" s="7" t="s">
        <v>72</v>
      </c>
    </row>
    <row r="9" spans="1:11">
      <c r="A9" s="9" t="s">
        <v>41</v>
      </c>
      <c r="B9" s="9" t="s">
        <v>41</v>
      </c>
      <c r="C9" s="9" t="s">
        <v>41</v>
      </c>
      <c r="D9" s="9" t="s">
        <v>41</v>
      </c>
      <c r="E9" s="9" t="s">
        <v>41</v>
      </c>
      <c r="F9" s="9" t="s">
        <v>41</v>
      </c>
      <c r="G9" s="9" t="s">
        <v>66</v>
      </c>
      <c r="H9" s="9" t="s">
        <v>68</v>
      </c>
      <c r="I9" s="9" t="s">
        <v>68</v>
      </c>
    </row>
    <row r="10" spans="1:11">
      <c r="A10" s="8"/>
      <c r="B10" s="8"/>
      <c r="C10" s="8"/>
      <c r="D10" s="8"/>
      <c r="E10" s="8"/>
      <c r="F10" s="8"/>
      <c r="G10" s="8"/>
      <c r="H10" s="8"/>
    </row>
    <row r="11" spans="1:11" ht="15.75">
      <c r="A11" s="159" t="s">
        <v>329</v>
      </c>
      <c r="B11" s="80" t="s">
        <v>330</v>
      </c>
      <c r="C11" s="121" t="s">
        <v>331</v>
      </c>
      <c r="D11" s="78">
        <v>1.6</v>
      </c>
      <c r="E11" s="81">
        <v>0</v>
      </c>
      <c r="F11" s="80" t="s">
        <v>103</v>
      </c>
      <c r="G11" s="120"/>
      <c r="H11" s="120" t="s">
        <v>246</v>
      </c>
      <c r="I11" s="381">
        <v>6.13</v>
      </c>
    </row>
    <row r="12" spans="1:11" ht="15.75">
      <c r="A12" s="159" t="s">
        <v>332</v>
      </c>
      <c r="B12" s="80" t="s">
        <v>333</v>
      </c>
      <c r="C12" s="121" t="s">
        <v>331</v>
      </c>
      <c r="D12" s="78">
        <v>1.9</v>
      </c>
      <c r="E12" s="81">
        <v>0.05</v>
      </c>
      <c r="F12" s="80" t="s">
        <v>103</v>
      </c>
      <c r="G12" s="120"/>
      <c r="H12" s="120" t="s">
        <v>111</v>
      </c>
      <c r="I12" s="381">
        <v>3.29</v>
      </c>
    </row>
    <row r="13" spans="1:11" ht="15.75">
      <c r="A13" s="159" t="s">
        <v>371</v>
      </c>
      <c r="B13" s="80" t="s">
        <v>372</v>
      </c>
      <c r="C13" s="121" t="s">
        <v>331</v>
      </c>
      <c r="D13" s="78">
        <v>1.3</v>
      </c>
      <c r="E13" s="81">
        <v>0</v>
      </c>
      <c r="F13" s="80" t="s">
        <v>110</v>
      </c>
      <c r="G13" s="120"/>
      <c r="H13" s="120" t="s">
        <v>111</v>
      </c>
      <c r="I13" s="381">
        <v>3.29</v>
      </c>
    </row>
    <row r="14" spans="1:11" ht="15.75">
      <c r="A14" s="159" t="s">
        <v>339</v>
      </c>
      <c r="B14" s="197" t="s">
        <v>340</v>
      </c>
      <c r="C14" s="121" t="s">
        <v>331</v>
      </c>
      <c r="D14" s="78">
        <v>1.1000000000000001</v>
      </c>
      <c r="E14" s="249">
        <v>0.01</v>
      </c>
      <c r="F14" s="80" t="s">
        <v>110</v>
      </c>
      <c r="G14" s="80" t="s">
        <v>208</v>
      </c>
      <c r="H14" s="120" t="s">
        <v>104</v>
      </c>
      <c r="I14" s="381">
        <v>3.29</v>
      </c>
      <c r="K14" t="s">
        <v>6</v>
      </c>
    </row>
    <row r="15" spans="1:11" ht="15.75">
      <c r="A15" s="159" t="s">
        <v>389</v>
      </c>
      <c r="B15" s="197" t="s">
        <v>375</v>
      </c>
      <c r="C15" s="121" t="s">
        <v>331</v>
      </c>
      <c r="D15" s="78">
        <v>0.95</v>
      </c>
      <c r="E15" s="249">
        <v>1E-3</v>
      </c>
      <c r="F15" s="80" t="s">
        <v>120</v>
      </c>
      <c r="G15" s="346"/>
      <c r="H15" s="120" t="s">
        <v>157</v>
      </c>
      <c r="I15" s="381">
        <v>7.47</v>
      </c>
    </row>
    <row r="16" spans="1:11" ht="15.75">
      <c r="A16" s="159" t="s">
        <v>390</v>
      </c>
      <c r="B16" s="80" t="s">
        <v>377</v>
      </c>
      <c r="C16" s="121" t="s">
        <v>331</v>
      </c>
      <c r="D16" s="78">
        <v>1.2</v>
      </c>
      <c r="E16" s="81">
        <v>2E-3</v>
      </c>
      <c r="F16" s="80" t="s">
        <v>110</v>
      </c>
      <c r="G16" s="80"/>
      <c r="H16" s="80" t="s">
        <v>104</v>
      </c>
      <c r="I16" s="381">
        <v>3.29</v>
      </c>
    </row>
    <row r="17" spans="1:11" ht="15.75">
      <c r="A17" s="159" t="s">
        <v>378</v>
      </c>
      <c r="B17" s="80" t="s">
        <v>379</v>
      </c>
      <c r="C17" s="121" t="s">
        <v>331</v>
      </c>
      <c r="D17" s="78">
        <v>1.1499999999999999</v>
      </c>
      <c r="E17" s="81">
        <v>5.0000000000000001E-3</v>
      </c>
      <c r="F17" s="80" t="s">
        <v>110</v>
      </c>
      <c r="G17" s="80" t="s">
        <v>76</v>
      </c>
      <c r="H17" s="80" t="s">
        <v>77</v>
      </c>
      <c r="I17" s="381">
        <v>3.29</v>
      </c>
    </row>
    <row r="18" spans="1:11" ht="15.75">
      <c r="A18" s="159" t="s">
        <v>380</v>
      </c>
      <c r="B18" s="80" t="s">
        <v>381</v>
      </c>
      <c r="C18" s="121" t="s">
        <v>331</v>
      </c>
      <c r="D18" s="78">
        <v>1.3</v>
      </c>
      <c r="E18" s="81">
        <v>0</v>
      </c>
      <c r="F18" s="80" t="s">
        <v>133</v>
      </c>
      <c r="G18" s="80" t="s">
        <v>391</v>
      </c>
      <c r="H18" s="80" t="s">
        <v>392</v>
      </c>
      <c r="I18" s="381">
        <v>6.8</v>
      </c>
      <c r="K18" t="s">
        <v>6</v>
      </c>
    </row>
    <row r="19" spans="1:11" ht="15.75">
      <c r="A19" s="157" t="s">
        <v>393</v>
      </c>
      <c r="B19" s="80" t="s">
        <v>383</v>
      </c>
      <c r="C19" s="121" t="s">
        <v>331</v>
      </c>
      <c r="D19" s="78">
        <v>1</v>
      </c>
      <c r="E19" s="249">
        <v>0</v>
      </c>
      <c r="F19" s="80" t="s">
        <v>105</v>
      </c>
      <c r="G19" s="80"/>
      <c r="H19" s="80" t="s">
        <v>111</v>
      </c>
      <c r="I19" s="381">
        <v>3.29</v>
      </c>
    </row>
    <row r="20" spans="1:11" ht="15.75">
      <c r="A20" s="157" t="s">
        <v>384</v>
      </c>
      <c r="B20" s="80" t="s">
        <v>385</v>
      </c>
      <c r="C20" s="121" t="s">
        <v>331</v>
      </c>
      <c r="D20" s="78">
        <v>1.55</v>
      </c>
      <c r="E20" s="81">
        <v>0</v>
      </c>
      <c r="F20" s="80" t="s">
        <v>133</v>
      </c>
      <c r="G20" s="80"/>
      <c r="H20" s="80" t="s">
        <v>106</v>
      </c>
      <c r="I20" s="381">
        <v>5.46</v>
      </c>
    </row>
    <row r="21" spans="1:11" ht="15.75" thickBot="1">
      <c r="C21" s="82"/>
      <c r="D21" s="82"/>
      <c r="E21" s="82"/>
      <c r="F21" s="83"/>
      <c r="G21" s="83"/>
      <c r="H21" s="83" t="s">
        <v>6</v>
      </c>
      <c r="I21" s="82"/>
    </row>
    <row r="22" spans="1:11" ht="15.75" thickTop="1">
      <c r="C22" s="87" t="s">
        <v>55</v>
      </c>
      <c r="D22" s="253" t="s">
        <v>394</v>
      </c>
      <c r="E22" s="253" t="s">
        <v>395</v>
      </c>
      <c r="F22" s="80" t="s">
        <v>6</v>
      </c>
      <c r="G22" s="80" t="s">
        <v>6</v>
      </c>
      <c r="H22" s="80" t="s">
        <v>6</v>
      </c>
      <c r="I22" s="253" t="s">
        <v>353</v>
      </c>
    </row>
    <row r="23" spans="1:11">
      <c r="C23" s="87" t="s">
        <v>57</v>
      </c>
      <c r="D23" s="185">
        <f>MEDIAN(D11:D20)</f>
        <v>1.25</v>
      </c>
      <c r="E23" s="186">
        <f>MEDIAN(E11:E20)</f>
        <v>5.0000000000000001E-4</v>
      </c>
      <c r="F23" s="80" t="s">
        <v>110</v>
      </c>
      <c r="G23" s="382" t="s">
        <v>76</v>
      </c>
      <c r="H23" s="80" t="s">
        <v>111</v>
      </c>
      <c r="I23" s="185">
        <f>MEDIAN(I11:I20)</f>
        <v>3.29</v>
      </c>
    </row>
    <row r="24" spans="1:11">
      <c r="C24" s="87" t="s">
        <v>25</v>
      </c>
      <c r="D24" s="187">
        <f>AVERAGE(D11:D20)</f>
        <v>1.3050000000000002</v>
      </c>
      <c r="E24" s="13">
        <f>AVERAGE(E11:E20)</f>
        <v>6.8000000000000005E-3</v>
      </c>
      <c r="I24" s="187">
        <f>AVERAGE(I11:I20)</f>
        <v>4.5599999999999996</v>
      </c>
      <c r="J24" s="352" t="s">
        <v>6</v>
      </c>
    </row>
    <row r="25" spans="1:11">
      <c r="J25" s="92"/>
    </row>
    <row r="26" spans="1:11" ht="21">
      <c r="F26" s="22"/>
      <c r="G26" s="22"/>
      <c r="H26" s="61" t="s">
        <v>20</v>
      </c>
      <c r="I26" s="150">
        <v>3.2899999999999999E-2</v>
      </c>
      <c r="J26" s="94" t="s">
        <v>6</v>
      </c>
    </row>
  </sheetData>
  <pageMargins left="0.25" right="0.25" top="0.75" bottom="0.75" header="0.3" footer="0.3"/>
  <pageSetup scale="51" orientation="portrait" r:id="rId1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H56"/>
  <sheetViews>
    <sheetView zoomScale="80" zoomScaleNormal="80" workbookViewId="0">
      <selection activeCell="E28" sqref="E28"/>
    </sheetView>
  </sheetViews>
  <sheetFormatPr defaultRowHeight="15"/>
  <cols>
    <col min="1" max="1" width="43.7109375" customWidth="1"/>
    <col min="2" max="2" width="12.85546875" customWidth="1"/>
    <col min="3" max="3" width="21.28515625" customWidth="1"/>
    <col min="4" max="4" width="17.28515625" customWidth="1"/>
    <col min="5" max="5" width="21.85546875" customWidth="1"/>
    <col min="6" max="6" width="18" customWidth="1"/>
    <col min="7" max="7" width="23" customWidth="1"/>
    <col min="8" max="8" width="23.140625" customWidth="1"/>
    <col min="12" max="12" width="11.5703125" customWidth="1"/>
  </cols>
  <sheetData>
    <row r="1" spans="1:8" ht="21">
      <c r="A1" s="23" t="s">
        <v>0</v>
      </c>
    </row>
    <row r="2" spans="1:8" ht="15.75">
      <c r="A2" s="24" t="s">
        <v>1</v>
      </c>
    </row>
    <row r="3" spans="1:8">
      <c r="A3" s="22" t="s">
        <v>2</v>
      </c>
    </row>
    <row r="4" spans="1:8">
      <c r="E4" s="4" t="s">
        <v>6</v>
      </c>
    </row>
    <row r="5" spans="1:8" ht="15.75">
      <c r="A5" s="76" t="s">
        <v>388</v>
      </c>
    </row>
    <row r="6" spans="1:8" ht="15.75">
      <c r="A6" s="76"/>
    </row>
    <row r="7" spans="1:8" ht="18.75">
      <c r="A7" s="76"/>
      <c r="E7" s="95" t="s">
        <v>79</v>
      </c>
    </row>
    <row r="8" spans="1:8" ht="18.75">
      <c r="A8" s="76"/>
      <c r="E8" s="95" t="s">
        <v>80</v>
      </c>
    </row>
    <row r="9" spans="1:8" ht="15.75">
      <c r="A9" s="76"/>
      <c r="E9" s="280"/>
    </row>
    <row r="10" spans="1:8" ht="15.75" thickBot="1">
      <c r="A10" s="77" t="s">
        <v>6</v>
      </c>
      <c r="B10" s="77" t="s">
        <v>6</v>
      </c>
      <c r="C10" s="77"/>
      <c r="D10" s="77" t="s">
        <v>6</v>
      </c>
      <c r="E10" s="77" t="s">
        <v>6</v>
      </c>
      <c r="F10" s="77" t="s">
        <v>6</v>
      </c>
      <c r="G10" s="77" t="s">
        <v>6</v>
      </c>
      <c r="H10" s="342"/>
    </row>
    <row r="11" spans="1:8">
      <c r="A11" s="8" t="s">
        <v>6</v>
      </c>
      <c r="B11" s="8" t="s">
        <v>27</v>
      </c>
      <c r="C11" s="8"/>
      <c r="D11" s="8" t="s">
        <v>6</v>
      </c>
      <c r="E11" s="8" t="s">
        <v>81</v>
      </c>
      <c r="F11" s="8" t="s">
        <v>81</v>
      </c>
      <c r="G11" s="8" t="s">
        <v>82</v>
      </c>
      <c r="H11" s="8"/>
    </row>
    <row r="12" spans="1:8" ht="15.75" thickBot="1">
      <c r="A12" s="7" t="s">
        <v>34</v>
      </c>
      <c r="B12" s="7" t="s">
        <v>35</v>
      </c>
      <c r="C12" s="7"/>
      <c r="D12" s="7" t="s">
        <v>83</v>
      </c>
      <c r="E12" s="7" t="s">
        <v>84</v>
      </c>
      <c r="F12" s="7" t="s">
        <v>85</v>
      </c>
      <c r="G12" s="7" t="s">
        <v>86</v>
      </c>
      <c r="H12" s="8"/>
    </row>
    <row r="13" spans="1:8">
      <c r="A13" s="9" t="s">
        <v>6</v>
      </c>
      <c r="B13" s="9" t="s">
        <v>6</v>
      </c>
      <c r="C13" s="9"/>
      <c r="D13" s="9" t="s">
        <v>41</v>
      </c>
      <c r="E13" s="383" t="s">
        <v>87</v>
      </c>
      <c r="F13" s="9" t="s">
        <v>6</v>
      </c>
      <c r="G13" s="9" t="s">
        <v>6</v>
      </c>
      <c r="H13" s="342"/>
    </row>
    <row r="14" spans="1:8" s="144" customFormat="1" ht="15.75">
      <c r="A14" s="159" t="s">
        <v>329</v>
      </c>
      <c r="B14" s="80" t="s">
        <v>330</v>
      </c>
      <c r="C14" s="121" t="s">
        <v>331</v>
      </c>
      <c r="D14" s="384">
        <v>18.52</v>
      </c>
      <c r="E14" s="46">
        <v>4.5999999999999996</v>
      </c>
      <c r="F14" s="325">
        <f t="shared" ref="F14:F23" si="0">D14/E14</f>
        <v>4.0260869565217394</v>
      </c>
      <c r="G14" s="155">
        <f t="shared" ref="G14:G23" si="1">1/F14</f>
        <v>0.24838012958963282</v>
      </c>
      <c r="H14" s="431"/>
    </row>
    <row r="15" spans="1:8" s="144" customFormat="1" ht="15.75">
      <c r="A15" s="159" t="s">
        <v>332</v>
      </c>
      <c r="B15" s="80" t="s">
        <v>333</v>
      </c>
      <c r="C15" s="121" t="s">
        <v>331</v>
      </c>
      <c r="D15" s="384">
        <v>5.26</v>
      </c>
      <c r="E15" s="46">
        <v>1.6</v>
      </c>
      <c r="F15" s="46">
        <f>D15/E15</f>
        <v>3.2874999999999996</v>
      </c>
      <c r="G15" s="16">
        <f>1/F15</f>
        <v>0.30418250950570347</v>
      </c>
      <c r="H15" s="431"/>
    </row>
    <row r="16" spans="1:8" s="144" customFormat="1" ht="15.75">
      <c r="A16" s="159" t="s">
        <v>371</v>
      </c>
      <c r="B16" s="80" t="s">
        <v>372</v>
      </c>
      <c r="C16" s="121" t="s">
        <v>331</v>
      </c>
      <c r="D16" s="384">
        <v>6.18</v>
      </c>
      <c r="E16" s="46">
        <v>2.0499999999999998</v>
      </c>
      <c r="F16" s="46">
        <f>D16/E16</f>
        <v>3.0146341463414634</v>
      </c>
      <c r="G16" s="16">
        <f>1/F16</f>
        <v>0.33171521035598706</v>
      </c>
      <c r="H16" s="433"/>
    </row>
    <row r="17" spans="1:8" s="144" customFormat="1" ht="15.75">
      <c r="A17" s="159" t="s">
        <v>339</v>
      </c>
      <c r="B17" s="197" t="s">
        <v>340</v>
      </c>
      <c r="C17" s="121" t="s">
        <v>331</v>
      </c>
      <c r="D17" s="384">
        <v>19.59</v>
      </c>
      <c r="E17" s="46">
        <v>2.65</v>
      </c>
      <c r="F17" s="46">
        <f>D17/E17</f>
        <v>7.3924528301886792</v>
      </c>
      <c r="G17" s="16">
        <f>1/F17</f>
        <v>0.13527309851965288</v>
      </c>
      <c r="H17" s="431"/>
    </row>
    <row r="18" spans="1:8" ht="15.75">
      <c r="A18" s="159" t="s">
        <v>374</v>
      </c>
      <c r="B18" s="197" t="s">
        <v>375</v>
      </c>
      <c r="C18" s="121" t="s">
        <v>331</v>
      </c>
      <c r="D18" s="384">
        <v>14.2</v>
      </c>
      <c r="E18" s="46">
        <v>2.7</v>
      </c>
      <c r="F18" s="325">
        <f>D18/E18</f>
        <v>5.2592592592592586</v>
      </c>
      <c r="G18" s="155">
        <f>1/F18</f>
        <v>0.19014084507042256</v>
      </c>
      <c r="H18" s="155"/>
    </row>
    <row r="19" spans="1:8" ht="15.75">
      <c r="A19" s="159" t="s">
        <v>390</v>
      </c>
      <c r="B19" s="80" t="s">
        <v>377</v>
      </c>
      <c r="C19" s="121" t="s">
        <v>331</v>
      </c>
      <c r="D19" s="384">
        <v>42.44</v>
      </c>
      <c r="E19" s="46">
        <v>4.8</v>
      </c>
      <c r="F19" s="325">
        <f t="shared" si="0"/>
        <v>8.8416666666666668</v>
      </c>
      <c r="G19" s="155">
        <f t="shared" si="1"/>
        <v>0.11310084825636192</v>
      </c>
      <c r="H19" s="155"/>
    </row>
    <row r="20" spans="1:8" ht="15.75">
      <c r="A20" s="159" t="s">
        <v>378</v>
      </c>
      <c r="B20" s="80" t="s">
        <v>379</v>
      </c>
      <c r="C20" s="121" t="s">
        <v>331</v>
      </c>
      <c r="D20" s="384">
        <v>21.65</v>
      </c>
      <c r="E20" s="46">
        <v>3.65</v>
      </c>
      <c r="F20" s="325">
        <f t="shared" si="0"/>
        <v>5.9315068493150687</v>
      </c>
      <c r="G20" s="155">
        <f t="shared" si="1"/>
        <v>0.16859122401847573</v>
      </c>
      <c r="H20" s="155"/>
    </row>
    <row r="21" spans="1:8" ht="15.75">
      <c r="A21" s="159" t="s">
        <v>380</v>
      </c>
      <c r="B21" s="80" t="s">
        <v>381</v>
      </c>
      <c r="C21" s="121" t="s">
        <v>331</v>
      </c>
      <c r="D21" s="384">
        <v>14.41</v>
      </c>
      <c r="E21" s="46">
        <v>5.4</v>
      </c>
      <c r="F21" s="325">
        <f t="shared" si="0"/>
        <v>2.6685185185185185</v>
      </c>
      <c r="G21" s="155">
        <f t="shared" si="1"/>
        <v>0.37473976405274118</v>
      </c>
      <c r="H21" s="155"/>
    </row>
    <row r="22" spans="1:8" ht="15.75">
      <c r="A22" s="157" t="s">
        <v>393</v>
      </c>
      <c r="B22" s="80" t="s">
        <v>383</v>
      </c>
      <c r="C22" s="121" t="s">
        <v>331</v>
      </c>
      <c r="D22" s="384">
        <v>26.41</v>
      </c>
      <c r="E22" s="46">
        <v>5.9</v>
      </c>
      <c r="F22" s="325">
        <f t="shared" si="0"/>
        <v>4.4762711864406777</v>
      </c>
      <c r="G22" s="155">
        <f t="shared" si="1"/>
        <v>0.22340022718667174</v>
      </c>
      <c r="H22" s="155"/>
    </row>
    <row r="23" spans="1:8" ht="15.75">
      <c r="A23" s="157" t="s">
        <v>384</v>
      </c>
      <c r="B23" s="80" t="s">
        <v>385</v>
      </c>
      <c r="C23" s="121" t="s">
        <v>331</v>
      </c>
      <c r="D23" s="384">
        <v>8.24</v>
      </c>
      <c r="E23" s="46">
        <v>1.8</v>
      </c>
      <c r="F23" s="325">
        <f t="shared" si="0"/>
        <v>4.5777777777777775</v>
      </c>
      <c r="G23" s="155">
        <f t="shared" si="1"/>
        <v>0.21844660194174759</v>
      </c>
      <c r="H23" s="155"/>
    </row>
    <row r="24" spans="1:8" ht="15.75" thickBot="1">
      <c r="B24" s="82"/>
      <c r="C24" s="82"/>
      <c r="D24" s="83"/>
      <c r="E24" s="83"/>
      <c r="F24" s="83"/>
      <c r="G24" s="83"/>
      <c r="H24" s="385"/>
    </row>
    <row r="25" spans="1:8" ht="15.75" thickTop="1">
      <c r="B25" s="87" t="s">
        <v>55</v>
      </c>
      <c r="C25" s="87"/>
      <c r="D25" s="253" t="s">
        <v>396</v>
      </c>
      <c r="E25" s="253" t="s">
        <v>397</v>
      </c>
      <c r="F25" s="253" t="s">
        <v>398</v>
      </c>
      <c r="G25" s="253" t="s">
        <v>399</v>
      </c>
      <c r="H25" s="281"/>
    </row>
    <row r="26" spans="1:8">
      <c r="B26" s="87" t="s">
        <v>57</v>
      </c>
      <c r="C26" s="87"/>
      <c r="D26" s="386">
        <f>MEDIAN(D14:D23)</f>
        <v>16.465</v>
      </c>
      <c r="E26" s="254">
        <f>MEDIAN(E14:E23)</f>
        <v>3.1749999999999998</v>
      </c>
      <c r="F26" s="254">
        <f>MEDIAN(F14:F23)</f>
        <v>4.527024482109228</v>
      </c>
      <c r="G26" s="13">
        <f>MEDIAN(G14:G23)</f>
        <v>0.22092341456420966</v>
      </c>
      <c r="H26" s="91"/>
    </row>
    <row r="27" spans="1:8">
      <c r="B27" s="87" t="s">
        <v>25</v>
      </c>
      <c r="C27" s="87"/>
      <c r="D27" s="386">
        <f>AVERAGE(D14:D23)</f>
        <v>17.690000000000001</v>
      </c>
      <c r="E27" s="187">
        <f>AVERAGE(E14:E23)</f>
        <v>3.5149999999999997</v>
      </c>
      <c r="F27" s="187">
        <f>AVERAGE(F14:F23)</f>
        <v>4.9475674191029855</v>
      </c>
      <c r="G27" s="13">
        <f>AVERAGE(G14:G23)</f>
        <v>0.2307970458497397</v>
      </c>
      <c r="H27" s="91"/>
    </row>
    <row r="28" spans="1:8">
      <c r="A28" t="s">
        <v>6</v>
      </c>
    </row>
    <row r="29" spans="1:8" ht="21">
      <c r="A29" s="73" t="s">
        <v>6</v>
      </c>
      <c r="F29" s="61" t="s">
        <v>20</v>
      </c>
      <c r="G29" s="150">
        <v>0.22090000000000001</v>
      </c>
      <c r="H29" s="93"/>
    </row>
    <row r="30" spans="1:8" ht="23.25">
      <c r="A30" s="371"/>
    </row>
    <row r="31" spans="1:8" ht="23.25">
      <c r="A31" s="374" t="s">
        <v>258</v>
      </c>
      <c r="B31" s="387"/>
      <c r="C31" s="387"/>
    </row>
    <row r="32" spans="1:8">
      <c r="A32" s="189"/>
      <c r="B32" s="387"/>
      <c r="C32" s="387"/>
    </row>
    <row r="33" spans="1:3">
      <c r="A33" s="375" t="s">
        <v>400</v>
      </c>
      <c r="B33" s="387"/>
      <c r="C33" s="387"/>
    </row>
    <row r="34" spans="1:3">
      <c r="A34" s="375" t="s">
        <v>401</v>
      </c>
      <c r="B34" s="387"/>
      <c r="C34" s="387"/>
    </row>
    <row r="35" spans="1:3">
      <c r="A35" s="375" t="s">
        <v>402</v>
      </c>
    </row>
    <row r="36" spans="1:3">
      <c r="A36" s="375" t="s">
        <v>403</v>
      </c>
    </row>
    <row r="37" spans="1:3">
      <c r="A37" s="375" t="s">
        <v>404</v>
      </c>
    </row>
    <row r="38" spans="1:3">
      <c r="A38" s="375" t="s">
        <v>405</v>
      </c>
    </row>
    <row r="39" spans="1:3">
      <c r="A39" s="375" t="s">
        <v>410</v>
      </c>
    </row>
    <row r="40" spans="1:3">
      <c r="A40" s="430" t="s">
        <v>567</v>
      </c>
    </row>
    <row r="41" spans="1:3">
      <c r="A41" s="430" t="s">
        <v>566</v>
      </c>
    </row>
    <row r="42" spans="1:3">
      <c r="A42" s="375" t="s">
        <v>406</v>
      </c>
    </row>
    <row r="43" spans="1:3">
      <c r="A43" s="375" t="s">
        <v>407</v>
      </c>
    </row>
    <row r="44" spans="1:3">
      <c r="A44" s="375" t="s">
        <v>408</v>
      </c>
    </row>
    <row r="45" spans="1:3">
      <c r="A45" s="430" t="s">
        <v>411</v>
      </c>
    </row>
    <row r="46" spans="1:3">
      <c r="A46" s="430" t="s">
        <v>563</v>
      </c>
    </row>
    <row r="47" spans="1:3">
      <c r="A47" s="375" t="s">
        <v>409</v>
      </c>
    </row>
    <row r="49" spans="1:8">
      <c r="A49" s="373"/>
    </row>
    <row r="50" spans="1:8" ht="23.25">
      <c r="A50" s="285" t="s">
        <v>262</v>
      </c>
    </row>
    <row r="51" spans="1:8">
      <c r="A51" s="372"/>
    </row>
    <row r="52" spans="1:8" s="388" customFormat="1">
      <c r="A52" s="373" t="s">
        <v>564</v>
      </c>
    </row>
    <row r="54" spans="1:8">
      <c r="A54" s="287"/>
    </row>
    <row r="55" spans="1:8">
      <c r="H55" s="144"/>
    </row>
    <row r="56" spans="1:8">
      <c r="H56" s="144"/>
    </row>
  </sheetData>
  <pageMargins left="0.25" right="0.25" top="0.75" bottom="0.75" header="0.3" footer="0.3"/>
  <pageSetup scale="54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F24"/>
  <sheetViews>
    <sheetView zoomScaleNormal="100" workbookViewId="0">
      <selection activeCell="D9" sqref="D9"/>
    </sheetView>
  </sheetViews>
  <sheetFormatPr defaultRowHeight="15"/>
  <cols>
    <col min="1" max="1" width="24.85546875" customWidth="1"/>
    <col min="2" max="2" width="13.28515625" bestFit="1" customWidth="1"/>
    <col min="3" max="3" width="28.5703125" customWidth="1"/>
    <col min="4" max="4" width="12" bestFit="1" customWidth="1"/>
    <col min="5" max="5" width="20.85546875" bestFit="1" customWidth="1"/>
    <col min="6" max="6" width="13" bestFit="1" customWidth="1"/>
  </cols>
  <sheetData>
    <row r="1" spans="1:6" ht="21">
      <c r="C1" s="1" t="s">
        <v>0</v>
      </c>
    </row>
    <row r="2" spans="1:6" ht="15.75">
      <c r="C2" s="2" t="s">
        <v>1</v>
      </c>
    </row>
    <row r="4" spans="1:6">
      <c r="C4" s="3" t="s">
        <v>2</v>
      </c>
    </row>
    <row r="5" spans="1:6">
      <c r="C5" s="3" t="s">
        <v>3</v>
      </c>
    </row>
    <row r="8" spans="1:6">
      <c r="D8" s="4"/>
    </row>
    <row r="10" spans="1:6" ht="15.75" thickBot="1">
      <c r="B10" s="5"/>
      <c r="C10" s="5"/>
      <c r="D10" s="5"/>
    </row>
    <row r="11" spans="1:6" ht="21">
      <c r="C11" s="6" t="s">
        <v>412</v>
      </c>
    </row>
    <row r="12" spans="1:6" ht="15.75" thickBot="1">
      <c r="B12" s="5"/>
      <c r="C12" s="7" t="s">
        <v>5</v>
      </c>
      <c r="D12" s="5"/>
    </row>
    <row r="13" spans="1:6" ht="15.75" thickBot="1">
      <c r="A13" s="5"/>
      <c r="B13" s="5"/>
      <c r="C13" s="7" t="s">
        <v>6</v>
      </c>
      <c r="D13" s="5"/>
      <c r="E13" s="5"/>
      <c r="F13" s="5"/>
    </row>
    <row r="14" spans="1:6">
      <c r="A14" s="8" t="s">
        <v>7</v>
      </c>
      <c r="B14" s="8" t="s">
        <v>8</v>
      </c>
      <c r="C14" s="8" t="s">
        <v>9</v>
      </c>
      <c r="D14" s="8" t="s">
        <v>10</v>
      </c>
      <c r="E14" s="8" t="s">
        <v>11</v>
      </c>
      <c r="F14" s="8" t="s">
        <v>12</v>
      </c>
    </row>
    <row r="15" spans="1:6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</row>
    <row r="16" spans="1:6">
      <c r="A16" s="9" t="s">
        <v>6</v>
      </c>
      <c r="B16" s="9" t="s">
        <v>6</v>
      </c>
      <c r="C16" s="9" t="s">
        <v>6</v>
      </c>
      <c r="D16" s="9" t="s">
        <v>6</v>
      </c>
      <c r="E16" s="9" t="s">
        <v>6</v>
      </c>
      <c r="F16" s="9" t="s">
        <v>6</v>
      </c>
    </row>
    <row r="17" spans="1:6">
      <c r="A17" s="8"/>
      <c r="B17" s="8"/>
      <c r="C17" s="8"/>
      <c r="D17" s="8"/>
      <c r="E17" s="8"/>
      <c r="F17" s="8"/>
    </row>
    <row r="18" spans="1:6" ht="15.75">
      <c r="A18" s="2" t="s">
        <v>17</v>
      </c>
      <c r="B18" s="16">
        <v>0.74</v>
      </c>
      <c r="C18" s="155">
        <v>4.6699999999999998E-2</v>
      </c>
      <c r="D18" s="121" t="s">
        <v>134</v>
      </c>
      <c r="E18" s="155">
        <f>+C18</f>
        <v>4.6699999999999998E-2</v>
      </c>
      <c r="F18" s="54">
        <f>+E18*B18</f>
        <v>3.4557999999999998E-2</v>
      </c>
    </row>
    <row r="19" spans="1:6" ht="15.75">
      <c r="A19" s="2" t="s">
        <v>6</v>
      </c>
      <c r="B19" s="14" t="s">
        <v>6</v>
      </c>
      <c r="C19" s="2" t="s">
        <v>6</v>
      </c>
      <c r="D19" s="2" t="s">
        <v>6</v>
      </c>
      <c r="E19" s="15" t="s">
        <v>6</v>
      </c>
      <c r="F19" s="12" t="s">
        <v>6</v>
      </c>
    </row>
    <row r="20" spans="1:6" ht="15.75">
      <c r="A20" s="2" t="s">
        <v>18</v>
      </c>
      <c r="B20" s="16">
        <v>0.26</v>
      </c>
      <c r="C20" s="16">
        <v>2.7900000000000001E-2</v>
      </c>
      <c r="D20" s="16">
        <v>0.26</v>
      </c>
      <c r="E20" s="155">
        <f>+C20*(1-D20)</f>
        <v>2.0646000000000001E-2</v>
      </c>
      <c r="F20" s="54">
        <f>+B20*E20</f>
        <v>5.3679600000000006E-3</v>
      </c>
    </row>
    <row r="21" spans="1:6" ht="16.5" thickBot="1">
      <c r="A21" s="17" t="s">
        <v>6</v>
      </c>
      <c r="B21" s="17" t="s">
        <v>6</v>
      </c>
      <c r="C21" s="17" t="s">
        <v>6</v>
      </c>
      <c r="D21" s="125" t="s">
        <v>6</v>
      </c>
      <c r="E21" s="389" t="s">
        <v>6</v>
      </c>
      <c r="F21" s="130" t="s">
        <v>6</v>
      </c>
    </row>
    <row r="22" spans="1:6" ht="15.75">
      <c r="A22" s="2" t="s">
        <v>19</v>
      </c>
      <c r="B22" s="156">
        <f>+B18+B20</f>
        <v>1</v>
      </c>
      <c r="C22" s="2" t="s">
        <v>6</v>
      </c>
      <c r="D22" s="121" t="s">
        <v>6</v>
      </c>
      <c r="E22" s="325" t="s">
        <v>6</v>
      </c>
      <c r="F22" s="54">
        <f>+F18+F20</f>
        <v>3.9925959999999996E-2</v>
      </c>
    </row>
    <row r="23" spans="1:6" ht="15.75">
      <c r="A23" s="24"/>
      <c r="B23" s="24"/>
      <c r="C23" s="24"/>
      <c r="D23" s="157"/>
      <c r="E23" s="157"/>
      <c r="F23" s="157"/>
    </row>
    <row r="24" spans="1:6" ht="15.75">
      <c r="D24" s="144"/>
      <c r="E24" s="325" t="s">
        <v>20</v>
      </c>
      <c r="F24" s="54">
        <v>3.9899999999999998E-2</v>
      </c>
    </row>
  </sheetData>
  <pageMargins left="0.25" right="0.25" top="0.75" bottom="0.75" header="0.3" footer="0.3"/>
  <pageSetup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L50"/>
  <sheetViews>
    <sheetView zoomScale="80" zoomScaleNormal="80" zoomScalePageLayoutView="70" workbookViewId="0">
      <pane xSplit="2" topLeftCell="C1" activePane="topRight" state="frozen"/>
      <selection activeCell="D9" sqref="D9"/>
      <selection pane="topRight" activeCell="F15" sqref="F15"/>
    </sheetView>
  </sheetViews>
  <sheetFormatPr defaultRowHeight="15"/>
  <cols>
    <col min="1" max="1" width="51.7109375" customWidth="1"/>
    <col min="2" max="2" width="10.85546875" bestFit="1" customWidth="1"/>
    <col min="3" max="3" width="16.85546875" customWidth="1"/>
    <col min="4" max="4" width="18.7109375" customWidth="1"/>
    <col min="5" max="5" width="21.7109375" customWidth="1"/>
    <col min="6" max="6" width="20.5703125" customWidth="1"/>
    <col min="7" max="7" width="21.5703125" customWidth="1"/>
    <col min="8" max="8" width="26.5703125" customWidth="1"/>
    <col min="9" max="9" width="27" customWidth="1"/>
    <col min="10" max="10" width="27.7109375" customWidth="1"/>
    <col min="11" max="11" width="23.42578125" customWidth="1"/>
    <col min="12" max="12" width="23.42578125" bestFit="1" customWidth="1"/>
    <col min="13" max="13" width="30.140625" bestFit="1" customWidth="1"/>
    <col min="14" max="14" width="9.14062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E4" s="4"/>
      <c r="K4" t="s">
        <v>6</v>
      </c>
    </row>
    <row r="6" spans="1:12">
      <c r="A6" s="25" t="s">
        <v>21</v>
      </c>
      <c r="B6" s="26"/>
      <c r="C6" s="26"/>
      <c r="D6" s="26"/>
      <c r="E6" s="26"/>
      <c r="F6" s="26"/>
      <c r="G6" s="27"/>
      <c r="H6" s="28"/>
      <c r="I6" s="28"/>
      <c r="J6" s="29"/>
      <c r="K6" s="29"/>
      <c r="L6" s="29"/>
    </row>
    <row r="7" spans="1:1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15.75" thickBo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20.25">
      <c r="A9" s="31" t="s">
        <v>413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5.75" thickBot="1">
      <c r="A10" s="32" t="s">
        <v>6</v>
      </c>
      <c r="B10" s="33" t="s">
        <v>6</v>
      </c>
      <c r="C10" s="33" t="s">
        <v>6</v>
      </c>
      <c r="D10" s="33"/>
      <c r="E10" s="33"/>
      <c r="F10" s="33"/>
      <c r="G10" s="33" t="s">
        <v>6</v>
      </c>
      <c r="H10" s="34"/>
      <c r="I10" s="34"/>
      <c r="J10" s="34"/>
      <c r="K10" s="34"/>
      <c r="L10" s="34"/>
    </row>
    <row r="11" spans="1:12" ht="18">
      <c r="A11" s="117"/>
      <c r="B11" s="117"/>
      <c r="C11" s="117"/>
      <c r="D11" s="390" t="s">
        <v>414</v>
      </c>
      <c r="E11" s="390" t="s">
        <v>414</v>
      </c>
      <c r="F11" s="117"/>
      <c r="G11" s="117"/>
      <c r="H11" s="36" t="s">
        <v>23</v>
      </c>
      <c r="I11" s="118"/>
      <c r="J11" s="118"/>
      <c r="K11" s="118"/>
      <c r="L11" s="118"/>
    </row>
    <row r="12" spans="1:12" ht="15.75">
      <c r="A12" s="35"/>
      <c r="B12" s="35"/>
      <c r="C12" s="35"/>
      <c r="D12" s="40" t="s">
        <v>30</v>
      </c>
      <c r="E12" s="40" t="s">
        <v>30</v>
      </c>
      <c r="F12" s="40" t="s">
        <v>30</v>
      </c>
      <c r="G12" s="35"/>
      <c r="H12" s="36" t="s">
        <v>26</v>
      </c>
      <c r="I12" s="36" t="s">
        <v>23</v>
      </c>
      <c r="J12" s="36" t="s">
        <v>23</v>
      </c>
    </row>
    <row r="13" spans="1:12" ht="15.75">
      <c r="A13" s="35" t="s">
        <v>6</v>
      </c>
      <c r="B13" s="35" t="s">
        <v>27</v>
      </c>
      <c r="C13" s="35" t="s">
        <v>28</v>
      </c>
      <c r="D13" s="40" t="s">
        <v>29</v>
      </c>
      <c r="E13" s="40" t="s">
        <v>29</v>
      </c>
      <c r="F13" s="40" t="s">
        <v>25</v>
      </c>
      <c r="G13" s="36" t="s">
        <v>23</v>
      </c>
      <c r="H13" s="35" t="s">
        <v>31</v>
      </c>
      <c r="I13" s="35" t="s">
        <v>32</v>
      </c>
      <c r="J13" s="37" t="s">
        <v>47</v>
      </c>
    </row>
    <row r="14" spans="1:12" ht="16.5" thickBot="1">
      <c r="A14" s="38" t="s">
        <v>34</v>
      </c>
      <c r="B14" s="38" t="s">
        <v>35</v>
      </c>
      <c r="C14" s="38" t="s">
        <v>36</v>
      </c>
      <c r="D14" s="38" t="s">
        <v>37</v>
      </c>
      <c r="E14" s="38" t="s">
        <v>38</v>
      </c>
      <c r="F14" s="38" t="s">
        <v>29</v>
      </c>
      <c r="G14" s="38" t="s">
        <v>29</v>
      </c>
      <c r="H14" s="41" t="s">
        <v>39</v>
      </c>
      <c r="I14" s="38" t="s">
        <v>40</v>
      </c>
      <c r="J14" s="38" t="s">
        <v>40</v>
      </c>
    </row>
    <row r="15" spans="1:12" ht="15.75">
      <c r="A15" s="42" t="s">
        <v>41</v>
      </c>
      <c r="B15" s="42" t="s">
        <v>41</v>
      </c>
      <c r="C15" s="42" t="s">
        <v>41</v>
      </c>
      <c r="D15" s="42" t="s">
        <v>95</v>
      </c>
      <c r="E15" s="42" t="s">
        <v>95</v>
      </c>
      <c r="F15" s="42"/>
      <c r="G15" s="42" t="s">
        <v>41</v>
      </c>
      <c r="H15" s="42" t="s">
        <v>42</v>
      </c>
      <c r="I15" s="42" t="s">
        <v>42</v>
      </c>
      <c r="J15" s="42" t="s">
        <v>42</v>
      </c>
    </row>
    <row r="16" spans="1:12" ht="15.75">
      <c r="A16" s="35"/>
      <c r="B16" s="35"/>
      <c r="C16" s="35"/>
      <c r="D16" s="35"/>
      <c r="E16" s="35"/>
      <c r="F16" s="35"/>
      <c r="G16" s="35"/>
      <c r="H16" s="35"/>
      <c r="I16" s="44"/>
      <c r="J16" s="44"/>
    </row>
    <row r="17" spans="1:12" ht="15.75">
      <c r="A17" s="24" t="s">
        <v>415</v>
      </c>
      <c r="B17" s="2" t="s">
        <v>416</v>
      </c>
      <c r="C17" s="14" t="s">
        <v>417</v>
      </c>
      <c r="D17" s="45">
        <v>79.64</v>
      </c>
      <c r="E17" s="45">
        <v>78.33</v>
      </c>
      <c r="F17" s="46">
        <f>AVERAGE(D17,E17)</f>
        <v>78.984999999999999</v>
      </c>
      <c r="G17" s="45">
        <v>79.510000000000005</v>
      </c>
      <c r="H17" s="391">
        <v>36889103</v>
      </c>
      <c r="I17" s="47">
        <v>0</v>
      </c>
      <c r="J17" s="47">
        <v>444271000</v>
      </c>
      <c r="K17" t="s">
        <v>6</v>
      </c>
    </row>
    <row r="18" spans="1:12" ht="15.75">
      <c r="A18" s="24" t="s">
        <v>418</v>
      </c>
      <c r="B18" s="2" t="s">
        <v>419</v>
      </c>
      <c r="C18" s="14" t="s">
        <v>417</v>
      </c>
      <c r="D18" s="45">
        <v>153.6</v>
      </c>
      <c r="E18" s="45">
        <v>150.21</v>
      </c>
      <c r="F18" s="46">
        <f t="shared" ref="F18:F23" si="0">AVERAGE(D18,E18)</f>
        <v>151.905</v>
      </c>
      <c r="G18" s="45">
        <v>153.47</v>
      </c>
      <c r="H18" s="392">
        <f>186466707-5168215</f>
        <v>181298492</v>
      </c>
      <c r="I18" s="47">
        <v>0</v>
      </c>
      <c r="J18" s="393">
        <f>9333000000+329000000</f>
        <v>9662000000</v>
      </c>
    </row>
    <row r="19" spans="1:12" ht="15.75">
      <c r="A19" s="24" t="s">
        <v>420</v>
      </c>
      <c r="B19" s="14" t="s">
        <v>421</v>
      </c>
      <c r="C19" s="14" t="s">
        <v>417</v>
      </c>
      <c r="D19" s="45">
        <v>54.24</v>
      </c>
      <c r="E19" s="45">
        <v>53.49</v>
      </c>
      <c r="F19" s="46">
        <f t="shared" si="0"/>
        <v>53.865000000000002</v>
      </c>
      <c r="G19" s="46">
        <v>54.03</v>
      </c>
      <c r="H19" s="47">
        <v>50334000</v>
      </c>
      <c r="I19" s="47">
        <v>0</v>
      </c>
      <c r="J19" s="47">
        <f>781100000+5127000</f>
        <v>786227000</v>
      </c>
    </row>
    <row r="20" spans="1:12" ht="15.75">
      <c r="A20" s="60" t="s">
        <v>422</v>
      </c>
      <c r="B20" s="45" t="s">
        <v>423</v>
      </c>
      <c r="C20" s="45" t="s">
        <v>417</v>
      </c>
      <c r="D20" s="45">
        <v>47.42</v>
      </c>
      <c r="E20" s="46">
        <v>46.31</v>
      </c>
      <c r="F20" s="46">
        <f>AVERAGE(D20,E20)</f>
        <v>46.865000000000002</v>
      </c>
      <c r="G20" s="46">
        <v>47.29</v>
      </c>
      <c r="H20" s="47">
        <f>248571355-3180887</f>
        <v>245390468</v>
      </c>
      <c r="I20" s="47">
        <v>0</v>
      </c>
      <c r="J20" s="394">
        <f>(5545890+84353)*1000</f>
        <v>5630243000</v>
      </c>
      <c r="K20" t="s">
        <v>6</v>
      </c>
    </row>
    <row r="21" spans="1:12" ht="15.75">
      <c r="A21" s="201" t="s">
        <v>424</v>
      </c>
      <c r="B21" s="14" t="s">
        <v>425</v>
      </c>
      <c r="C21" s="14" t="s">
        <v>417</v>
      </c>
      <c r="D21" s="45">
        <v>72.84</v>
      </c>
      <c r="E21" s="46">
        <v>71.150000000000006</v>
      </c>
      <c r="F21" s="46">
        <f t="shared" si="0"/>
        <v>71.995000000000005</v>
      </c>
      <c r="G21" s="45">
        <v>72.47</v>
      </c>
      <c r="H21" s="232">
        <v>17473000</v>
      </c>
      <c r="I21" s="47">
        <v>2084000</v>
      </c>
      <c r="J21" s="232">
        <f>273244000+7255000</f>
        <v>280499000</v>
      </c>
    </row>
    <row r="22" spans="1:12" ht="15.75">
      <c r="A22" s="24" t="s">
        <v>426</v>
      </c>
      <c r="B22" s="2" t="s">
        <v>427</v>
      </c>
      <c r="C22" s="14" t="s">
        <v>417</v>
      </c>
      <c r="D22" s="45">
        <v>69.64</v>
      </c>
      <c r="E22" s="45">
        <v>68.45</v>
      </c>
      <c r="F22" s="46">
        <f t="shared" si="0"/>
        <v>69.045000000000002</v>
      </c>
      <c r="G22" s="45">
        <v>69.36</v>
      </c>
      <c r="H22" s="232">
        <v>28556605</v>
      </c>
      <c r="I22" s="47">
        <v>0</v>
      </c>
      <c r="J22" s="47">
        <f>1287580000+76241000</f>
        <v>1363821000</v>
      </c>
    </row>
    <row r="23" spans="1:12" ht="15.75">
      <c r="A23" s="24" t="s">
        <v>428</v>
      </c>
      <c r="B23" s="14" t="s">
        <v>429</v>
      </c>
      <c r="C23" s="14" t="s">
        <v>417</v>
      </c>
      <c r="D23" s="46">
        <v>46.76</v>
      </c>
      <c r="E23" s="46">
        <v>46.1</v>
      </c>
      <c r="F23" s="46">
        <f t="shared" si="0"/>
        <v>46.43</v>
      </c>
      <c r="G23" s="46">
        <v>46.6</v>
      </c>
      <c r="H23" s="232">
        <v>13060817</v>
      </c>
      <c r="I23" s="47">
        <v>0</v>
      </c>
      <c r="J23" s="47">
        <f>123573000+0</f>
        <v>123573000</v>
      </c>
      <c r="K23" t="s">
        <v>6</v>
      </c>
    </row>
    <row r="24" spans="1:12" ht="15.75">
      <c r="A24" s="49" t="s">
        <v>6</v>
      </c>
      <c r="B24" s="395" t="s">
        <v>6</v>
      </c>
      <c r="C24" s="395" t="s">
        <v>6</v>
      </c>
      <c r="D24" s="395"/>
      <c r="E24" s="395"/>
      <c r="F24" s="395"/>
      <c r="G24" s="396" t="s">
        <v>6</v>
      </c>
      <c r="H24" s="49"/>
      <c r="I24" s="49"/>
      <c r="J24" s="49"/>
    </row>
    <row r="25" spans="1:12" ht="16.5" thickBot="1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2" ht="15.7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2" ht="15.75">
      <c r="A27" s="22"/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2" ht="15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 t="s">
        <v>6</v>
      </c>
      <c r="L28" s="49"/>
    </row>
    <row r="29" spans="1:12" ht="15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</row>
    <row r="30" spans="1:12" ht="15.75">
      <c r="A30" s="35"/>
      <c r="B30" s="35"/>
      <c r="C30" s="35"/>
      <c r="D30" s="36" t="s">
        <v>23</v>
      </c>
      <c r="E30" s="36" t="s">
        <v>23</v>
      </c>
      <c r="F30" s="36" t="s">
        <v>23</v>
      </c>
      <c r="G30" s="36" t="s">
        <v>23</v>
      </c>
      <c r="H30" s="36" t="s">
        <v>23</v>
      </c>
      <c r="I30" s="36" t="s">
        <v>23</v>
      </c>
      <c r="L30" s="49"/>
    </row>
    <row r="31" spans="1:12" ht="15.75">
      <c r="A31" s="35" t="s">
        <v>6</v>
      </c>
      <c r="B31" s="35" t="s">
        <v>27</v>
      </c>
      <c r="C31" s="35" t="s">
        <v>28</v>
      </c>
      <c r="D31" s="35" t="s">
        <v>26</v>
      </c>
      <c r="E31" s="35" t="s">
        <v>32</v>
      </c>
      <c r="F31" s="37" t="s">
        <v>201</v>
      </c>
      <c r="G31" s="37" t="s">
        <v>48</v>
      </c>
      <c r="H31" s="37" t="s">
        <v>49</v>
      </c>
      <c r="I31" s="37" t="s">
        <v>202</v>
      </c>
      <c r="L31" s="49"/>
    </row>
    <row r="32" spans="1:12" ht="16.5" thickBot="1">
      <c r="A32" s="38" t="s">
        <v>34</v>
      </c>
      <c r="B32" s="38" t="s">
        <v>35</v>
      </c>
      <c r="C32" s="38" t="s">
        <v>36</v>
      </c>
      <c r="D32" s="38" t="s">
        <v>51</v>
      </c>
      <c r="E32" s="38" t="s">
        <v>51</v>
      </c>
      <c r="F32" s="38" t="s">
        <v>51</v>
      </c>
      <c r="G32" s="38" t="s">
        <v>52</v>
      </c>
      <c r="H32" s="38" t="s">
        <v>6</v>
      </c>
      <c r="I32" s="38" t="s">
        <v>6</v>
      </c>
      <c r="L32" s="49"/>
    </row>
    <row r="33" spans="1:12" ht="15.75">
      <c r="A33" s="42" t="s">
        <v>41</v>
      </c>
      <c r="B33" s="42" t="s">
        <v>41</v>
      </c>
      <c r="C33" s="42" t="s">
        <v>41</v>
      </c>
      <c r="D33" s="42" t="s">
        <v>53</v>
      </c>
      <c r="E33" s="42" t="s">
        <v>42</v>
      </c>
      <c r="F33" s="42" t="s">
        <v>42</v>
      </c>
      <c r="G33" s="42" t="s">
        <v>53</v>
      </c>
      <c r="H33" s="42" t="s">
        <v>53</v>
      </c>
      <c r="I33" s="42" t="s">
        <v>53</v>
      </c>
      <c r="L33" s="49"/>
    </row>
    <row r="34" spans="1:12" ht="15.75">
      <c r="A34" s="35"/>
      <c r="B34" s="35"/>
      <c r="C34" s="35"/>
      <c r="D34" s="49"/>
      <c r="E34" s="49"/>
      <c r="F34" s="44"/>
      <c r="G34" s="44"/>
      <c r="H34" s="44"/>
      <c r="I34" s="44"/>
      <c r="L34" s="49"/>
    </row>
    <row r="35" spans="1:12" ht="15.75">
      <c r="A35" s="60" t="str">
        <f t="shared" ref="A35:C41" si="1">+A17</f>
        <v>American States Water Company</v>
      </c>
      <c r="B35" s="45" t="str">
        <f t="shared" si="1"/>
        <v>AWR</v>
      </c>
      <c r="C35" s="45" t="str">
        <f t="shared" si="1"/>
        <v>Water Utility</v>
      </c>
      <c r="D35" s="145">
        <f t="shared" ref="D35:D41" si="2">+G17*H17</f>
        <v>2933052579.5300002</v>
      </c>
      <c r="E35" s="52">
        <f>(1/1)*I17</f>
        <v>0</v>
      </c>
      <c r="F35" s="47">
        <f>(559752/444271)*J17</f>
        <v>559752000</v>
      </c>
      <c r="G35" s="232">
        <f>+D35+E35+F35</f>
        <v>3492804579.5300002</v>
      </c>
      <c r="H35" s="54">
        <f>(+D35)/G35</f>
        <v>0.83974139198038911</v>
      </c>
      <c r="I35" s="54">
        <f>(E35+F35)/G35</f>
        <v>0.16025860801961087</v>
      </c>
      <c r="L35" s="49"/>
    </row>
    <row r="36" spans="1:12" ht="15.75">
      <c r="A36" s="60" t="str">
        <f t="shared" si="1"/>
        <v>American Water Works Company Inc</v>
      </c>
      <c r="B36" s="45" t="str">
        <f t="shared" si="1"/>
        <v>AWK</v>
      </c>
      <c r="C36" s="45" t="str">
        <f t="shared" si="1"/>
        <v>Water Utility</v>
      </c>
      <c r="D36" s="145">
        <f t="shared" si="2"/>
        <v>27823879567.240002</v>
      </c>
      <c r="E36" s="52">
        <f>(15/12)*I18</f>
        <v>0</v>
      </c>
      <c r="F36" s="47">
        <f>(11807/9656)*J18</f>
        <v>11814336578.293289</v>
      </c>
      <c r="G36" s="232">
        <f t="shared" ref="G36:G41" si="3">+D36+E36+F36</f>
        <v>39638216145.533295</v>
      </c>
      <c r="H36" s="54">
        <f t="shared" ref="H36:H41" si="4">(+D36)/G36</f>
        <v>0.70194580566096909</v>
      </c>
      <c r="I36" s="54">
        <f t="shared" ref="I36:I41" si="5">(E36+F36)/G36</f>
        <v>0.2980541943390308</v>
      </c>
      <c r="L36" s="49"/>
    </row>
    <row r="37" spans="1:12" ht="15.75">
      <c r="A37" s="60" t="str">
        <f t="shared" si="1"/>
        <v xml:space="preserve">California Water Service Group </v>
      </c>
      <c r="B37" s="45" t="str">
        <f t="shared" si="1"/>
        <v>CWT</v>
      </c>
      <c r="C37" s="45" t="str">
        <f t="shared" si="1"/>
        <v>Water Utility</v>
      </c>
      <c r="D37" s="145">
        <f t="shared" si="2"/>
        <v>2719546020</v>
      </c>
      <c r="E37" s="52">
        <f>(1/1)*I19</f>
        <v>0</v>
      </c>
      <c r="F37" s="47">
        <f>(944447/786227)*J19</f>
        <v>944447000</v>
      </c>
      <c r="G37" s="232">
        <f t="shared" si="3"/>
        <v>3663993020</v>
      </c>
      <c r="H37" s="54">
        <f t="shared" si="4"/>
        <v>0.74223558973919657</v>
      </c>
      <c r="I37" s="54">
        <f t="shared" si="5"/>
        <v>0.25776441026080338</v>
      </c>
      <c r="L37" s="49"/>
    </row>
    <row r="38" spans="1:12" ht="15.75">
      <c r="A38" s="60" t="str">
        <f t="shared" si="1"/>
        <v>Essential Utilities, Inc.</v>
      </c>
      <c r="B38" s="45" t="str">
        <f t="shared" si="1"/>
        <v>WTRG</v>
      </c>
      <c r="C38" s="45" t="str">
        <f t="shared" si="1"/>
        <v>Water Utility</v>
      </c>
      <c r="D38" s="145">
        <f>+G20*H20</f>
        <v>11604515231.719999</v>
      </c>
      <c r="E38" s="52">
        <f>(1/1)*I20</f>
        <v>0</v>
      </c>
      <c r="F38" s="47">
        <f>(6366030/5630243)*J20</f>
        <v>6366030000</v>
      </c>
      <c r="G38" s="232">
        <f t="shared" si="3"/>
        <v>17970545231.720001</v>
      </c>
      <c r="H38" s="54">
        <f t="shared" si="4"/>
        <v>0.64575198370925024</v>
      </c>
      <c r="I38" s="54">
        <f t="shared" si="5"/>
        <v>0.35424801629074965</v>
      </c>
      <c r="L38" s="49"/>
    </row>
    <row r="39" spans="1:12" ht="15.75">
      <c r="A39" s="60" t="str">
        <f t="shared" si="1"/>
        <v>Middlesex Water Company</v>
      </c>
      <c r="B39" s="45" t="str">
        <f t="shared" si="1"/>
        <v>MSEX</v>
      </c>
      <c r="C39" s="45" t="str">
        <f t="shared" si="1"/>
        <v>Water Utility</v>
      </c>
      <c r="D39" s="145">
        <f t="shared" si="2"/>
        <v>1266268310</v>
      </c>
      <c r="E39" s="52">
        <f t="shared" ref="E39:E41" si="6">(1/1)*I21</f>
        <v>2084000</v>
      </c>
      <c r="F39" s="47">
        <f>(159195/147667)*J21</f>
        <v>302396867.986754</v>
      </c>
      <c r="G39" s="232">
        <f t="shared" si="3"/>
        <v>1570749177.9867539</v>
      </c>
      <c r="H39" s="54">
        <f t="shared" si="4"/>
        <v>0.80615564072615953</v>
      </c>
      <c r="I39" s="54">
        <f t="shared" si="5"/>
        <v>0.19384435927384053</v>
      </c>
      <c r="L39" s="49"/>
    </row>
    <row r="40" spans="1:12" ht="15.75">
      <c r="A40" s="60" t="str">
        <f t="shared" si="1"/>
        <v>SJW Corporation</v>
      </c>
      <c r="B40" s="45" t="str">
        <f t="shared" si="1"/>
        <v>SJW</v>
      </c>
      <c r="C40" s="45" t="str">
        <f t="shared" si="1"/>
        <v>Water Utility</v>
      </c>
      <c r="D40" s="145">
        <f t="shared" si="2"/>
        <v>1980686122.8</v>
      </c>
      <c r="E40" s="52">
        <f t="shared" si="6"/>
        <v>0</v>
      </c>
      <c r="F40" s="47">
        <v>1570727000</v>
      </c>
      <c r="G40" s="232">
        <f t="shared" si="3"/>
        <v>3551413122.8000002</v>
      </c>
      <c r="H40" s="54">
        <f t="shared" si="4"/>
        <v>0.55771774623572667</v>
      </c>
      <c r="I40" s="54">
        <f t="shared" si="5"/>
        <v>0.44228225376427333</v>
      </c>
      <c r="L40" s="49"/>
    </row>
    <row r="41" spans="1:12" ht="15.75">
      <c r="A41" s="60" t="str">
        <f t="shared" si="1"/>
        <v>The York Water Company</v>
      </c>
      <c r="B41" s="45" t="str">
        <f t="shared" si="1"/>
        <v>YORW</v>
      </c>
      <c r="C41" s="45" t="str">
        <f t="shared" si="1"/>
        <v>Water Utility</v>
      </c>
      <c r="D41" s="145">
        <f t="shared" si="2"/>
        <v>608634072.20000005</v>
      </c>
      <c r="E41" s="52">
        <f t="shared" si="6"/>
        <v>0</v>
      </c>
      <c r="F41" s="47">
        <f>(151000/126570)*J23</f>
        <v>147424531.87959233</v>
      </c>
      <c r="G41" s="232">
        <f t="shared" si="3"/>
        <v>756058604.07959235</v>
      </c>
      <c r="H41" s="54">
        <f t="shared" si="4"/>
        <v>0.80500912087487797</v>
      </c>
      <c r="I41" s="54">
        <f t="shared" si="5"/>
        <v>0.19499087912512209</v>
      </c>
      <c r="L41" s="49"/>
    </row>
    <row r="42" spans="1:12" ht="16.5" thickBot="1">
      <c r="A42" s="48"/>
      <c r="B42" s="48"/>
      <c r="C42" s="48"/>
      <c r="D42" s="48"/>
      <c r="E42" s="48"/>
      <c r="F42" s="48"/>
      <c r="G42" s="48"/>
      <c r="H42" s="48"/>
      <c r="I42" s="48"/>
      <c r="L42" s="49"/>
    </row>
    <row r="45" spans="1:12" ht="15.75">
      <c r="C45" s="132" t="s">
        <v>6</v>
      </c>
      <c r="D45" s="87" t="s">
        <v>6</v>
      </c>
      <c r="F45" s="87" t="s">
        <v>6</v>
      </c>
      <c r="G45" s="397" t="s">
        <v>55</v>
      </c>
      <c r="H45" s="194" t="s">
        <v>430</v>
      </c>
      <c r="I45" s="194" t="s">
        <v>431</v>
      </c>
    </row>
    <row r="46" spans="1:12" ht="15.75">
      <c r="C46" s="132" t="s">
        <v>6</v>
      </c>
      <c r="D46" s="133" t="s">
        <v>6</v>
      </c>
      <c r="F46" s="22" t="s">
        <v>6</v>
      </c>
      <c r="G46" s="397" t="s">
        <v>57</v>
      </c>
      <c r="H46" s="54">
        <f>MEDIAN(H35:H41)</f>
        <v>0.74223558973919657</v>
      </c>
      <c r="I46" s="54">
        <f>MEDIAN(I35:I41)</f>
        <v>0.25776441026080338</v>
      </c>
    </row>
    <row r="47" spans="1:12" ht="15.75">
      <c r="C47" s="132" t="s">
        <v>6</v>
      </c>
      <c r="D47" s="133" t="s">
        <v>6</v>
      </c>
      <c r="F47" s="22" t="s">
        <v>6</v>
      </c>
      <c r="G47" s="397" t="s">
        <v>25</v>
      </c>
      <c r="H47" s="54">
        <f>AVERAGE(H35:H41)</f>
        <v>0.72836532556093847</v>
      </c>
      <c r="I47" s="54">
        <f>AVERAGE(I35:I41)</f>
        <v>0.27163467443906153</v>
      </c>
    </row>
    <row r="48" spans="1:12" ht="15.75">
      <c r="G48" s="24"/>
      <c r="H48" s="442" t="s">
        <v>6</v>
      </c>
      <c r="I48" s="443"/>
    </row>
    <row r="49" spans="7:9" ht="21">
      <c r="G49" s="303" t="s">
        <v>20</v>
      </c>
      <c r="H49" s="163">
        <v>0.74</v>
      </c>
      <c r="I49" s="163">
        <v>0.26</v>
      </c>
    </row>
    <row r="50" spans="7:9" ht="15.75">
      <c r="H50" s="24"/>
      <c r="I50" s="24"/>
    </row>
  </sheetData>
  <mergeCells count="1">
    <mergeCell ref="H48:I48"/>
  </mergeCells>
  <pageMargins left="0.25" right="0.25" top="0.75" bottom="0.75" header="0.3" footer="0.3"/>
  <pageSetup scale="46" orientation="landscape" r:id="rId1"/>
  <colBreaks count="1" manualBreakCount="1">
    <brk id="12" max="64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24"/>
  <sheetViews>
    <sheetView zoomScaleNormal="100" workbookViewId="0">
      <selection activeCell="F24" sqref="F24"/>
    </sheetView>
  </sheetViews>
  <sheetFormatPr defaultRowHeight="15"/>
  <cols>
    <col min="1" max="1" width="24.85546875" customWidth="1"/>
    <col min="2" max="2" width="13.28515625" bestFit="1" customWidth="1"/>
    <col min="3" max="3" width="28.5703125" customWidth="1"/>
    <col min="4" max="4" width="12" bestFit="1" customWidth="1"/>
    <col min="5" max="5" width="20.85546875" bestFit="1" customWidth="1"/>
    <col min="6" max="6" width="13" bestFit="1" customWidth="1"/>
  </cols>
  <sheetData>
    <row r="1" spans="1:7" ht="21">
      <c r="C1" s="1" t="s">
        <v>0</v>
      </c>
    </row>
    <row r="2" spans="1:7" ht="15.75">
      <c r="C2" s="2" t="s">
        <v>1</v>
      </c>
    </row>
    <row r="4" spans="1:7">
      <c r="C4" s="3" t="s">
        <v>2</v>
      </c>
    </row>
    <row r="5" spans="1:7">
      <c r="C5" s="3" t="s">
        <v>3</v>
      </c>
    </row>
    <row r="8" spans="1:7">
      <c r="D8" s="4"/>
    </row>
    <row r="10" spans="1:7" ht="15.75" thickBot="1">
      <c r="B10" s="5"/>
      <c r="C10" s="5"/>
      <c r="D10" s="5"/>
    </row>
    <row r="11" spans="1:7" ht="21">
      <c r="C11" s="6" t="s">
        <v>4</v>
      </c>
    </row>
    <row r="12" spans="1:7" ht="15.75" thickBot="1">
      <c r="B12" s="5"/>
      <c r="C12" s="7" t="s">
        <v>5</v>
      </c>
      <c r="D12" s="5"/>
    </row>
    <row r="13" spans="1:7" ht="15.75" thickBot="1">
      <c r="A13" s="5"/>
      <c r="B13" s="5"/>
      <c r="C13" s="7" t="s">
        <v>6</v>
      </c>
      <c r="D13" s="5"/>
      <c r="E13" s="5"/>
      <c r="F13" s="5"/>
      <c r="G13" s="5"/>
    </row>
    <row r="14" spans="1:7">
      <c r="A14" s="8" t="s">
        <v>7</v>
      </c>
      <c r="B14" s="8" t="s">
        <v>8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6</v>
      </c>
    </row>
    <row r="15" spans="1:7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  <c r="G15" s="7" t="s">
        <v>6</v>
      </c>
    </row>
    <row r="16" spans="1:7">
      <c r="A16" s="9" t="s">
        <v>6</v>
      </c>
      <c r="B16" s="9" t="s">
        <v>6</v>
      </c>
      <c r="C16" s="9" t="s">
        <v>6</v>
      </c>
      <c r="D16" s="9" t="s">
        <v>6</v>
      </c>
      <c r="E16" s="9" t="s">
        <v>6</v>
      </c>
      <c r="F16" s="9" t="s">
        <v>6</v>
      </c>
      <c r="G16" s="9" t="s">
        <v>6</v>
      </c>
    </row>
    <row r="17" spans="1:7">
      <c r="A17" s="8"/>
      <c r="B17" s="8"/>
      <c r="C17" s="8"/>
      <c r="D17" s="8"/>
      <c r="E17" s="8"/>
      <c r="F17" s="8"/>
      <c r="G17" s="8"/>
    </row>
    <row r="18" spans="1:7" ht="15.75">
      <c r="A18" s="2" t="s">
        <v>17</v>
      </c>
      <c r="B18" s="10">
        <v>0.63</v>
      </c>
      <c r="C18" s="11">
        <v>8.9800000000000005E-2</v>
      </c>
      <c r="D18" s="2" t="s">
        <v>6</v>
      </c>
      <c r="E18" s="11">
        <f>+C18</f>
        <v>8.9800000000000005E-2</v>
      </c>
      <c r="F18" s="12">
        <f>+E18*B18</f>
        <v>5.6574000000000006E-2</v>
      </c>
      <c r="G18" s="13" t="s">
        <v>6</v>
      </c>
    </row>
    <row r="19" spans="1:7" ht="15.75">
      <c r="A19" s="2" t="s">
        <v>6</v>
      </c>
      <c r="B19" s="14" t="s">
        <v>6</v>
      </c>
      <c r="C19" s="2" t="s">
        <v>6</v>
      </c>
      <c r="D19" s="2" t="s">
        <v>6</v>
      </c>
      <c r="E19" s="15" t="s">
        <v>6</v>
      </c>
      <c r="F19" s="12" t="s">
        <v>6</v>
      </c>
      <c r="G19" s="13" t="s">
        <v>6</v>
      </c>
    </row>
    <row r="20" spans="1:7" ht="15.75">
      <c r="A20" s="2" t="s">
        <v>18</v>
      </c>
      <c r="B20" s="10">
        <v>0.37</v>
      </c>
      <c r="C20" s="10">
        <v>3.2899999999999999E-2</v>
      </c>
      <c r="D20" s="16">
        <v>0.26</v>
      </c>
      <c r="E20" s="11">
        <f>+C20*(1-D20)</f>
        <v>2.4346E-2</v>
      </c>
      <c r="F20" s="12">
        <f>+B20*E20</f>
        <v>9.0080200000000003E-3</v>
      </c>
      <c r="G20" s="13" t="s">
        <v>6</v>
      </c>
    </row>
    <row r="21" spans="1:7" ht="16.5" thickBot="1">
      <c r="A21" s="17" t="s">
        <v>6</v>
      </c>
      <c r="B21" s="17" t="s">
        <v>6</v>
      </c>
      <c r="C21" s="17" t="s">
        <v>6</v>
      </c>
      <c r="D21" s="17" t="s">
        <v>6</v>
      </c>
      <c r="E21" s="18" t="s">
        <v>6</v>
      </c>
      <c r="F21" s="19" t="s">
        <v>6</v>
      </c>
      <c r="G21" s="20" t="s">
        <v>6</v>
      </c>
    </row>
    <row r="22" spans="1:7" ht="15.75">
      <c r="A22" s="2" t="s">
        <v>19</v>
      </c>
      <c r="B22" s="21">
        <f>+B18+B20</f>
        <v>1</v>
      </c>
      <c r="C22" s="2" t="s">
        <v>6</v>
      </c>
      <c r="D22" s="2" t="s">
        <v>6</v>
      </c>
      <c r="E22" s="15" t="s">
        <v>6</v>
      </c>
      <c r="F22" s="12">
        <f>+F18+F20</f>
        <v>6.5582020000000005E-2</v>
      </c>
      <c r="G22" s="13" t="s">
        <v>6</v>
      </c>
    </row>
    <row r="23" spans="1:7">
      <c r="A23" s="22"/>
      <c r="B23" s="22"/>
      <c r="C23" s="22"/>
      <c r="D23" s="22"/>
      <c r="E23" s="22"/>
      <c r="F23" s="22"/>
      <c r="G23" s="22"/>
    </row>
    <row r="24" spans="1:7" ht="15.75">
      <c r="E24" s="15" t="s">
        <v>20</v>
      </c>
      <c r="F24" s="12">
        <v>6.5600000000000006E-2</v>
      </c>
    </row>
  </sheetData>
  <pageMargins left="0.25" right="0.25" top="0.75" bottom="0.75" header="0.3" footer="0.3"/>
  <pageSetup scale="83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M24"/>
  <sheetViews>
    <sheetView zoomScaleNormal="100" workbookViewId="0">
      <selection activeCell="D9" sqref="D9"/>
    </sheetView>
  </sheetViews>
  <sheetFormatPr defaultRowHeight="15"/>
  <cols>
    <col min="1" max="1" width="39.85546875" customWidth="1"/>
    <col min="2" max="2" width="10.85546875" bestFit="1" customWidth="1"/>
    <col min="3" max="3" width="18" customWidth="1"/>
    <col min="4" max="4" width="13" customWidth="1"/>
    <col min="5" max="5" width="14" bestFit="1" customWidth="1"/>
    <col min="6" max="6" width="9.28515625" bestFit="1" customWidth="1"/>
    <col min="7" max="7" width="9.7109375" bestFit="1" customWidth="1"/>
    <col min="8" max="8" width="15" customWidth="1"/>
    <col min="9" max="9" width="14.85546875" customWidth="1"/>
    <col min="10" max="10" width="14.5703125" customWidth="1"/>
  </cols>
  <sheetData>
    <row r="1" spans="1:13" ht="21">
      <c r="A1" s="23" t="s">
        <v>0</v>
      </c>
    </row>
    <row r="2" spans="1:13" ht="15.75">
      <c r="A2" s="24" t="s">
        <v>1</v>
      </c>
    </row>
    <row r="3" spans="1:13">
      <c r="A3" s="22" t="s">
        <v>2</v>
      </c>
    </row>
    <row r="5" spans="1:13" ht="15.75">
      <c r="A5" s="76" t="s">
        <v>413</v>
      </c>
    </row>
    <row r="6" spans="1:13" ht="15.75" thickBot="1">
      <c r="A6" s="77" t="s">
        <v>6</v>
      </c>
      <c r="B6" s="77" t="s">
        <v>6</v>
      </c>
      <c r="C6" s="77" t="s">
        <v>6</v>
      </c>
      <c r="D6" s="77"/>
      <c r="E6" s="77"/>
      <c r="F6" s="77"/>
      <c r="G6" s="77" t="s">
        <v>6</v>
      </c>
      <c r="H6" s="77" t="s">
        <v>6</v>
      </c>
      <c r="I6" s="77" t="s">
        <v>6</v>
      </c>
    </row>
    <row r="7" spans="1:13">
      <c r="A7" s="8" t="s">
        <v>6</v>
      </c>
      <c r="B7" s="8" t="s">
        <v>27</v>
      </c>
      <c r="C7" s="8" t="s">
        <v>28</v>
      </c>
      <c r="D7" s="8" t="s">
        <v>63</v>
      </c>
      <c r="E7" s="8" t="s">
        <v>64</v>
      </c>
      <c r="F7" s="8" t="s">
        <v>65</v>
      </c>
      <c r="G7" s="8" t="s">
        <v>432</v>
      </c>
      <c r="H7" s="8" t="s">
        <v>68</v>
      </c>
      <c r="I7" s="8" t="s">
        <v>68</v>
      </c>
    </row>
    <row r="8" spans="1:13" ht="15.75" thickBot="1">
      <c r="A8" s="7" t="s">
        <v>34</v>
      </c>
      <c r="B8" s="7" t="s">
        <v>35</v>
      </c>
      <c r="C8" s="7" t="s">
        <v>36</v>
      </c>
      <c r="D8" s="7"/>
      <c r="E8" s="7" t="s">
        <v>69</v>
      </c>
      <c r="F8" s="7" t="s">
        <v>70</v>
      </c>
      <c r="G8" s="7" t="s">
        <v>71</v>
      </c>
      <c r="H8" s="7" t="s">
        <v>71</v>
      </c>
      <c r="I8" s="7" t="s">
        <v>72</v>
      </c>
    </row>
    <row r="9" spans="1:13">
      <c r="A9" s="9" t="s">
        <v>41</v>
      </c>
      <c r="B9" s="9" t="s">
        <v>41</v>
      </c>
      <c r="C9" s="9" t="s">
        <v>41</v>
      </c>
      <c r="D9" s="9" t="s">
        <v>41</v>
      </c>
      <c r="E9" s="9" t="s">
        <v>41</v>
      </c>
      <c r="F9" s="9" t="s">
        <v>41</v>
      </c>
      <c r="G9" s="9" t="s">
        <v>66</v>
      </c>
      <c r="H9" s="9" t="s">
        <v>433</v>
      </c>
      <c r="I9" s="9" t="s">
        <v>433</v>
      </c>
    </row>
    <row r="10" spans="1:13">
      <c r="A10" s="8"/>
      <c r="B10" s="8"/>
      <c r="C10" s="8"/>
      <c r="D10" s="8"/>
      <c r="E10" s="8"/>
      <c r="F10" s="8"/>
      <c r="G10" s="8"/>
      <c r="H10" s="8"/>
      <c r="I10" s="8"/>
    </row>
    <row r="12" spans="1:13">
      <c r="A12" s="22" t="s">
        <v>415</v>
      </c>
      <c r="B12" s="3" t="s">
        <v>416</v>
      </c>
      <c r="C12" s="3" t="s">
        <v>417</v>
      </c>
      <c r="D12" s="78">
        <v>0.65</v>
      </c>
      <c r="E12" s="79">
        <v>0.25</v>
      </c>
      <c r="F12" s="80" t="s">
        <v>206</v>
      </c>
      <c r="G12" s="78" t="s">
        <v>91</v>
      </c>
      <c r="H12" s="78" t="s">
        <v>92</v>
      </c>
      <c r="I12" s="81">
        <v>2.7900000000000001E-2</v>
      </c>
      <c r="J12" t="s">
        <v>6</v>
      </c>
    </row>
    <row r="13" spans="1:13">
      <c r="A13" s="22" t="s">
        <v>418</v>
      </c>
      <c r="B13" s="3" t="s">
        <v>419</v>
      </c>
      <c r="C13" s="3" t="s">
        <v>417</v>
      </c>
      <c r="D13" s="78">
        <v>0.85</v>
      </c>
      <c r="E13" s="79">
        <v>0.215</v>
      </c>
      <c r="F13" s="80" t="s">
        <v>105</v>
      </c>
      <c r="G13" s="78" t="s">
        <v>206</v>
      </c>
      <c r="H13" s="78" t="s">
        <v>104</v>
      </c>
      <c r="I13" s="81">
        <v>3.2899999999999999E-2</v>
      </c>
      <c r="J13" t="s">
        <v>6</v>
      </c>
    </row>
    <row r="14" spans="1:13">
      <c r="A14" s="22" t="s">
        <v>420</v>
      </c>
      <c r="B14" s="3" t="s">
        <v>421</v>
      </c>
      <c r="C14" s="3" t="s">
        <v>417</v>
      </c>
      <c r="D14" s="78">
        <v>0.65</v>
      </c>
      <c r="E14" s="79">
        <v>0.21</v>
      </c>
      <c r="F14" s="80" t="s">
        <v>105</v>
      </c>
      <c r="G14" s="149" t="s">
        <v>434</v>
      </c>
      <c r="H14" s="78" t="s">
        <v>435</v>
      </c>
      <c r="I14" s="81">
        <v>2.47E-2</v>
      </c>
      <c r="J14" t="s">
        <v>6</v>
      </c>
    </row>
    <row r="15" spans="1:13">
      <c r="A15" s="60" t="s">
        <v>422</v>
      </c>
      <c r="B15" s="197" t="s">
        <v>423</v>
      </c>
      <c r="C15" s="197" t="s">
        <v>417</v>
      </c>
      <c r="D15" s="78">
        <v>0.95</v>
      </c>
      <c r="E15" s="79">
        <v>1.4999999999999999E-2</v>
      </c>
      <c r="F15" s="197" t="s">
        <v>110</v>
      </c>
      <c r="G15" s="149" t="s">
        <v>76</v>
      </c>
      <c r="H15" s="78" t="s">
        <v>77</v>
      </c>
      <c r="I15" s="81">
        <v>3.2899999999999999E-2</v>
      </c>
      <c r="J15" t="s">
        <v>6</v>
      </c>
    </row>
    <row r="16" spans="1:13">
      <c r="A16" s="22" t="s">
        <v>424</v>
      </c>
      <c r="B16" s="3" t="s">
        <v>425</v>
      </c>
      <c r="C16" s="3" t="s">
        <v>417</v>
      </c>
      <c r="D16" s="78">
        <v>0.75</v>
      </c>
      <c r="E16" s="79">
        <v>0.21</v>
      </c>
      <c r="F16" s="80" t="s">
        <v>105</v>
      </c>
      <c r="G16" s="78" t="s">
        <v>206</v>
      </c>
      <c r="H16" s="149" t="s">
        <v>92</v>
      </c>
      <c r="I16" s="81">
        <v>2.7900000000000001E-2</v>
      </c>
      <c r="J16" t="s">
        <v>6</v>
      </c>
      <c r="M16" t="s">
        <v>6</v>
      </c>
    </row>
    <row r="17" spans="1:10">
      <c r="A17" s="22" t="s">
        <v>426</v>
      </c>
      <c r="B17" s="3" t="s">
        <v>427</v>
      </c>
      <c r="C17" s="3" t="s">
        <v>417</v>
      </c>
      <c r="D17" s="78">
        <v>0.85</v>
      </c>
      <c r="E17" s="79">
        <v>0.21</v>
      </c>
      <c r="F17" s="80" t="s">
        <v>110</v>
      </c>
      <c r="G17" s="149" t="s">
        <v>436</v>
      </c>
      <c r="H17" s="149" t="s">
        <v>437</v>
      </c>
      <c r="I17" s="81">
        <v>2.7900000000000001E-2</v>
      </c>
      <c r="J17" t="s">
        <v>6</v>
      </c>
    </row>
    <row r="18" spans="1:10">
      <c r="A18" s="22" t="s">
        <v>428</v>
      </c>
      <c r="B18" s="3" t="s">
        <v>429</v>
      </c>
      <c r="C18" s="3" t="s">
        <v>417</v>
      </c>
      <c r="D18" s="78">
        <v>0.8</v>
      </c>
      <c r="E18" s="79">
        <v>0.185</v>
      </c>
      <c r="F18" s="80" t="s">
        <v>110</v>
      </c>
      <c r="G18" s="78" t="s">
        <v>207</v>
      </c>
      <c r="H18" s="149" t="s">
        <v>212</v>
      </c>
      <c r="I18" s="81">
        <v>2.7900000000000001E-2</v>
      </c>
      <c r="J18" t="s">
        <v>6</v>
      </c>
    </row>
    <row r="19" spans="1:10" ht="15.75" thickBot="1">
      <c r="C19" s="22"/>
      <c r="D19" s="83"/>
      <c r="E19" s="83"/>
      <c r="F19" s="83"/>
      <c r="G19" s="83"/>
      <c r="H19" s="359"/>
      <c r="I19" s="359"/>
    </row>
    <row r="20" spans="1:10" ht="15.75" thickTop="1">
      <c r="C20" s="87" t="s">
        <v>55</v>
      </c>
      <c r="D20" s="398" t="s">
        <v>438</v>
      </c>
      <c r="E20" s="398" t="s">
        <v>439</v>
      </c>
      <c r="F20" s="87"/>
      <c r="H20" s="144"/>
      <c r="I20" s="398" t="s">
        <v>440</v>
      </c>
    </row>
    <row r="21" spans="1:10">
      <c r="C21" s="87" t="s">
        <v>57</v>
      </c>
      <c r="D21" s="187">
        <f>MEDIAN(D12:D18)</f>
        <v>0.8</v>
      </c>
      <c r="E21" s="13">
        <f>MEDIAN(E12:E18)</f>
        <v>0.21</v>
      </c>
      <c r="F21" s="87"/>
      <c r="H21" s="144"/>
      <c r="I21" s="13">
        <f>MEDIAN(I12:I18)</f>
        <v>2.7900000000000001E-2</v>
      </c>
    </row>
    <row r="22" spans="1:10">
      <c r="C22" s="87" t="s">
        <v>25</v>
      </c>
      <c r="D22" s="187">
        <f>SUM(D12:D18)/6</f>
        <v>0.91666666666666652</v>
      </c>
      <c r="E22" s="256">
        <f>SUM(E12:E18)/6</f>
        <v>0.21583333333333332</v>
      </c>
      <c r="F22" s="87"/>
      <c r="H22" s="144"/>
      <c r="I22" s="13">
        <f>AVERAGE(I12:I18)</f>
        <v>2.8871428571428572E-2</v>
      </c>
    </row>
    <row r="23" spans="1:10">
      <c r="H23" s="144"/>
      <c r="I23" s="144"/>
    </row>
    <row r="24" spans="1:10" ht="21">
      <c r="H24" s="252" t="s">
        <v>20</v>
      </c>
      <c r="I24" s="150">
        <v>2.7900000000000001E-2</v>
      </c>
      <c r="J24" s="94" t="s">
        <v>6</v>
      </c>
    </row>
  </sheetData>
  <pageMargins left="0.25" right="0.25" top="0.75" bottom="0.75" header="0.3" footer="0.3"/>
  <pageSetup scale="81" orientation="landscape" r:id="rId1"/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L36"/>
  <sheetViews>
    <sheetView zoomScaleNormal="100" workbookViewId="0">
      <selection activeCell="D9" sqref="D9"/>
    </sheetView>
  </sheetViews>
  <sheetFormatPr defaultRowHeight="15"/>
  <cols>
    <col min="1" max="1" width="36.85546875" customWidth="1"/>
    <col min="2" max="2" width="12.28515625" bestFit="1" customWidth="1"/>
    <col min="3" max="3" width="12.7109375" bestFit="1" customWidth="1"/>
    <col min="4" max="4" width="15.85546875" customWidth="1"/>
    <col min="5" max="5" width="12.5703125" customWidth="1"/>
    <col min="6" max="6" width="14.28515625" customWidth="1"/>
  </cols>
  <sheetData>
    <row r="1" spans="1:12" ht="21">
      <c r="A1" s="23" t="s">
        <v>0</v>
      </c>
    </row>
    <row r="2" spans="1:12" ht="15.75">
      <c r="A2" s="24" t="s">
        <v>1</v>
      </c>
    </row>
    <row r="3" spans="1:12">
      <c r="A3" s="22" t="s">
        <v>2</v>
      </c>
    </row>
    <row r="4" spans="1:12">
      <c r="D4" s="4" t="s">
        <v>6</v>
      </c>
    </row>
    <row r="5" spans="1:12" ht="15.75">
      <c r="A5" s="76" t="s">
        <v>413</v>
      </c>
    </row>
    <row r="6" spans="1:12" ht="15.75">
      <c r="A6" s="76"/>
    </row>
    <row r="7" spans="1:12" ht="18.75">
      <c r="A7" s="76"/>
      <c r="D7" s="95" t="s">
        <v>79</v>
      </c>
    </row>
    <row r="8" spans="1:12" ht="18.75">
      <c r="A8" s="76"/>
      <c r="D8" s="95" t="s">
        <v>80</v>
      </c>
    </row>
    <row r="9" spans="1:12" ht="15.75">
      <c r="A9" s="76"/>
      <c r="D9" s="280"/>
    </row>
    <row r="10" spans="1:12" ht="15.75" thickBot="1">
      <c r="A10" s="77" t="s">
        <v>6</v>
      </c>
      <c r="B10" s="77" t="s">
        <v>6</v>
      </c>
      <c r="C10" s="77" t="s">
        <v>6</v>
      </c>
      <c r="D10" s="77" t="s">
        <v>6</v>
      </c>
      <c r="E10" s="77" t="s">
        <v>6</v>
      </c>
      <c r="F10" s="77" t="s">
        <v>6</v>
      </c>
    </row>
    <row r="11" spans="1:12">
      <c r="A11" s="8" t="s">
        <v>6</v>
      </c>
      <c r="B11" s="8" t="s">
        <v>27</v>
      </c>
      <c r="C11" s="8" t="s">
        <v>6</v>
      </c>
      <c r="D11" s="8" t="s">
        <v>81</v>
      </c>
      <c r="E11" s="8" t="s">
        <v>81</v>
      </c>
      <c r="F11" s="8" t="s">
        <v>82</v>
      </c>
    </row>
    <row r="12" spans="1:12" ht="15.75" thickBot="1">
      <c r="A12" s="7" t="s">
        <v>34</v>
      </c>
      <c r="B12" s="7" t="s">
        <v>35</v>
      </c>
      <c r="C12" s="7" t="s">
        <v>83</v>
      </c>
      <c r="D12" s="7" t="s">
        <v>84</v>
      </c>
      <c r="E12" s="7" t="s">
        <v>85</v>
      </c>
      <c r="F12" s="7" t="s">
        <v>86</v>
      </c>
    </row>
    <row r="13" spans="1:12">
      <c r="A13" s="9" t="s">
        <v>6</v>
      </c>
      <c r="B13" s="9" t="s">
        <v>6</v>
      </c>
      <c r="C13" s="9" t="s">
        <v>41</v>
      </c>
      <c r="D13" s="115" t="s">
        <v>87</v>
      </c>
      <c r="E13" s="9" t="s">
        <v>6</v>
      </c>
      <c r="F13" s="9" t="s">
        <v>6</v>
      </c>
    </row>
    <row r="14" spans="1:12">
      <c r="A14" s="8"/>
      <c r="B14" s="8"/>
      <c r="C14" s="8"/>
      <c r="D14" s="8"/>
      <c r="E14" s="8"/>
      <c r="F14" s="8"/>
    </row>
    <row r="15" spans="1:12">
      <c r="L15" s="251" t="s">
        <v>6</v>
      </c>
    </row>
    <row r="16" spans="1:12">
      <c r="A16" s="22" t="s">
        <v>415</v>
      </c>
      <c r="B16" s="3" t="s">
        <v>416</v>
      </c>
      <c r="C16" s="197">
        <v>79.510000000000005</v>
      </c>
      <c r="D16" s="78">
        <v>3.34</v>
      </c>
      <c r="E16" s="140">
        <f t="shared" ref="E16:E22" si="0">C16/D16</f>
        <v>23.80538922155689</v>
      </c>
      <c r="F16" s="13">
        <f t="shared" ref="F16:F22" si="1">1/E16</f>
        <v>4.2007294679914473E-2</v>
      </c>
      <c r="L16" s="251" t="s">
        <v>6</v>
      </c>
    </row>
    <row r="17" spans="1:12">
      <c r="A17" s="22" t="s">
        <v>418</v>
      </c>
      <c r="B17" s="3" t="s">
        <v>419</v>
      </c>
      <c r="C17" s="197">
        <v>153.47</v>
      </c>
      <c r="D17" s="78">
        <v>7.24</v>
      </c>
      <c r="E17" s="140">
        <f t="shared" si="0"/>
        <v>21.197513812154696</v>
      </c>
      <c r="F17" s="13">
        <f t="shared" si="1"/>
        <v>4.7175343715384115E-2</v>
      </c>
      <c r="L17" s="251" t="s">
        <v>6</v>
      </c>
    </row>
    <row r="18" spans="1:12">
      <c r="A18" s="22" t="s">
        <v>420</v>
      </c>
      <c r="B18" s="3" t="s">
        <v>421</v>
      </c>
      <c r="C18" s="197">
        <v>54.03</v>
      </c>
      <c r="D18" s="78">
        <v>3.88</v>
      </c>
      <c r="E18" s="140">
        <f t="shared" si="0"/>
        <v>13.925257731958764</v>
      </c>
      <c r="F18" s="13">
        <f t="shared" si="1"/>
        <v>7.1811956320562642E-2</v>
      </c>
      <c r="L18" s="251" t="s">
        <v>6</v>
      </c>
    </row>
    <row r="19" spans="1:12">
      <c r="A19" s="60" t="s">
        <v>422</v>
      </c>
      <c r="B19" s="197" t="s">
        <v>423</v>
      </c>
      <c r="C19" s="78">
        <v>47.29</v>
      </c>
      <c r="D19" s="78">
        <v>2.21</v>
      </c>
      <c r="E19" s="78">
        <f>C19/D19</f>
        <v>21.398190045248867</v>
      </c>
      <c r="F19" s="81">
        <f>1/E19</f>
        <v>4.6732924508352723E-2</v>
      </c>
      <c r="L19" s="251"/>
    </row>
    <row r="20" spans="1:12">
      <c r="A20" s="22" t="s">
        <v>424</v>
      </c>
      <c r="B20" s="3" t="s">
        <v>425</v>
      </c>
      <c r="C20" s="197">
        <v>72.47</v>
      </c>
      <c r="D20" s="78">
        <v>3.25</v>
      </c>
      <c r="E20" s="140">
        <f t="shared" si="0"/>
        <v>22.298461538461538</v>
      </c>
      <c r="F20" s="13">
        <f t="shared" si="1"/>
        <v>4.4846143231682074E-2</v>
      </c>
      <c r="L20" s="251" t="s">
        <v>6</v>
      </c>
    </row>
    <row r="21" spans="1:12">
      <c r="A21" s="22" t="s">
        <v>441</v>
      </c>
      <c r="B21" s="3" t="s">
        <v>427</v>
      </c>
      <c r="C21" s="78">
        <v>69.36</v>
      </c>
      <c r="D21" s="78">
        <v>5.28</v>
      </c>
      <c r="E21" s="140">
        <f t="shared" si="0"/>
        <v>13.136363636363635</v>
      </c>
      <c r="F21" s="13">
        <f t="shared" si="1"/>
        <v>7.6124567474048457E-2</v>
      </c>
      <c r="L21" s="251" t="s">
        <v>6</v>
      </c>
    </row>
    <row r="22" spans="1:12">
      <c r="A22" s="22" t="s">
        <v>428</v>
      </c>
      <c r="B22" s="3" t="s">
        <v>429</v>
      </c>
      <c r="C22" s="78">
        <v>46.6</v>
      </c>
      <c r="D22" s="78">
        <v>1.88</v>
      </c>
      <c r="E22" s="140">
        <f t="shared" si="0"/>
        <v>24.787234042553195</v>
      </c>
      <c r="F22" s="13">
        <f t="shared" si="1"/>
        <v>4.0343347639484974E-2</v>
      </c>
      <c r="L22" s="251" t="s">
        <v>6</v>
      </c>
    </row>
    <row r="23" spans="1:12" ht="15.75" thickBot="1">
      <c r="B23" s="82"/>
      <c r="C23" s="83"/>
      <c r="D23" s="83"/>
      <c r="E23" s="83"/>
      <c r="F23" s="83"/>
    </row>
    <row r="24" spans="1:12" ht="15.75" thickTop="1">
      <c r="B24" s="87" t="s">
        <v>55</v>
      </c>
      <c r="C24" s="253" t="s">
        <v>442</v>
      </c>
      <c r="D24" s="253" t="s">
        <v>443</v>
      </c>
      <c r="E24" s="253" t="s">
        <v>444</v>
      </c>
      <c r="F24" s="253" t="s">
        <v>445</v>
      </c>
    </row>
    <row r="25" spans="1:12">
      <c r="B25" s="87" t="s">
        <v>57</v>
      </c>
      <c r="C25" s="188">
        <f>MEDIAN(C16:C22)</f>
        <v>69.36</v>
      </c>
      <c r="D25" s="188">
        <f>MEDIAN(D16:D22)</f>
        <v>3.34</v>
      </c>
      <c r="E25" s="399">
        <f>MEDIAN(E16:E22)</f>
        <v>21.398190045248867</v>
      </c>
      <c r="F25" s="186">
        <f>MEDIAN(F16:F22)</f>
        <v>4.6732924508352723E-2</v>
      </c>
    </row>
    <row r="26" spans="1:12">
      <c r="B26" s="87" t="s">
        <v>25</v>
      </c>
      <c r="C26" s="185">
        <f>AVERAGE(C16:C22)</f>
        <v>74.675714285714292</v>
      </c>
      <c r="D26" s="400">
        <f>AVERAGE(D16:D22)</f>
        <v>3.8685714285714288</v>
      </c>
      <c r="E26" s="185">
        <f>AVERAGE(E16:E22)</f>
        <v>20.078344289756803</v>
      </c>
      <c r="F26" s="401">
        <f>AVERAGE(F16:F22)</f>
        <v>5.2720225367061349E-2</v>
      </c>
    </row>
    <row r="27" spans="1:12" ht="15.75">
      <c r="B27" s="402"/>
      <c r="C27" s="402"/>
      <c r="D27" s="402"/>
      <c r="E27" s="402"/>
      <c r="F27" s="402"/>
      <c r="G27" s="402"/>
      <c r="H27" s="402"/>
      <c r="I27" s="402"/>
    </row>
    <row r="28" spans="1:12" ht="21">
      <c r="E28" s="61" t="s">
        <v>20</v>
      </c>
      <c r="F28" s="150">
        <v>4.6699999999999998E-2</v>
      </c>
    </row>
    <row r="30" spans="1:12">
      <c r="A30" s="403" t="s">
        <v>446</v>
      </c>
      <c r="B30" s="286"/>
    </row>
    <row r="31" spans="1:12">
      <c r="A31" s="287" t="s">
        <v>226</v>
      </c>
      <c r="B31" s="286"/>
    </row>
    <row r="32" spans="1:12">
      <c r="A32" s="287" t="s">
        <v>447</v>
      </c>
      <c r="B32" s="287" t="s">
        <v>448</v>
      </c>
    </row>
    <row r="36" spans="2:3">
      <c r="B36" s="73"/>
      <c r="C36" s="73"/>
    </row>
  </sheetData>
  <pageMargins left="0.25" right="0.25" top="0.75" bottom="0.75" header="0.3" footer="0.3"/>
  <pageSetup scale="71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N25"/>
  <sheetViews>
    <sheetView zoomScaleNormal="100" workbookViewId="0">
      <selection activeCell="D9" sqref="D9"/>
    </sheetView>
  </sheetViews>
  <sheetFormatPr defaultRowHeight="15"/>
  <cols>
    <col min="1" max="1" width="24.85546875" customWidth="1"/>
    <col min="2" max="2" width="13.28515625" bestFit="1" customWidth="1"/>
    <col min="3" max="3" width="28.5703125" customWidth="1"/>
    <col min="4" max="4" width="12" bestFit="1" customWidth="1"/>
    <col min="5" max="5" width="20.85546875" bestFit="1" customWidth="1"/>
    <col min="6" max="6" width="13" bestFit="1" customWidth="1"/>
  </cols>
  <sheetData>
    <row r="1" spans="1:14" ht="21">
      <c r="C1" s="1" t="s">
        <v>0</v>
      </c>
    </row>
    <row r="2" spans="1:14" ht="15.75">
      <c r="C2" s="2" t="s">
        <v>1</v>
      </c>
    </row>
    <row r="4" spans="1:14">
      <c r="C4" s="3" t="s">
        <v>2</v>
      </c>
    </row>
    <row r="5" spans="1:14">
      <c r="C5" s="3" t="s">
        <v>3</v>
      </c>
    </row>
    <row r="8" spans="1:14">
      <c r="D8" s="4"/>
    </row>
    <row r="10" spans="1:14" ht="15.75" thickBot="1">
      <c r="B10" s="5"/>
      <c r="C10" s="5"/>
      <c r="D10" s="5"/>
    </row>
    <row r="11" spans="1:14" ht="21">
      <c r="C11" s="6" t="s">
        <v>449</v>
      </c>
    </row>
    <row r="12" spans="1:14" ht="15.75" thickBot="1">
      <c r="B12" s="5"/>
      <c r="C12" s="7" t="s">
        <v>5</v>
      </c>
      <c r="D12" s="5"/>
    </row>
    <row r="13" spans="1:14" ht="15.75" thickBot="1">
      <c r="A13" s="5"/>
      <c r="B13" s="5"/>
      <c r="C13" s="7" t="s">
        <v>6</v>
      </c>
      <c r="D13" s="5"/>
      <c r="E13" s="5"/>
      <c r="F13" s="5"/>
    </row>
    <row r="14" spans="1:14">
      <c r="A14" s="8" t="s">
        <v>7</v>
      </c>
      <c r="B14" s="8" t="s">
        <v>8</v>
      </c>
      <c r="C14" s="8" t="s">
        <v>9</v>
      </c>
      <c r="D14" s="8" t="s">
        <v>10</v>
      </c>
      <c r="E14" s="8" t="s">
        <v>11</v>
      </c>
      <c r="F14" s="8" t="s">
        <v>12</v>
      </c>
    </row>
    <row r="15" spans="1:14" ht="15.75" thickBot="1">
      <c r="A15" s="7" t="s">
        <v>8</v>
      </c>
      <c r="B15" s="7" t="s">
        <v>13</v>
      </c>
      <c r="C15" s="7" t="s">
        <v>8</v>
      </c>
      <c r="D15" s="7" t="s">
        <v>14</v>
      </c>
      <c r="E15" s="7" t="s">
        <v>15</v>
      </c>
      <c r="F15" s="7" t="s">
        <v>16</v>
      </c>
    </row>
    <row r="16" spans="1:14">
      <c r="A16" s="9" t="s">
        <v>6</v>
      </c>
      <c r="B16" s="9" t="s">
        <v>6</v>
      </c>
      <c r="C16" s="9" t="s">
        <v>6</v>
      </c>
      <c r="D16" s="9" t="s">
        <v>6</v>
      </c>
      <c r="E16" s="9" t="s">
        <v>6</v>
      </c>
      <c r="F16" s="9" t="s">
        <v>6</v>
      </c>
      <c r="N16" t="s">
        <v>6</v>
      </c>
    </row>
    <row r="17" spans="1:14">
      <c r="A17" s="8"/>
      <c r="B17" s="8"/>
      <c r="C17" s="8"/>
      <c r="D17" s="8"/>
      <c r="E17" s="8"/>
      <c r="F17" s="8"/>
      <c r="N17" t="s">
        <v>6</v>
      </c>
    </row>
    <row r="18" spans="1:14" ht="15.75">
      <c r="A18" s="2" t="s">
        <v>17</v>
      </c>
      <c r="B18" s="16">
        <v>0.8</v>
      </c>
      <c r="C18" s="155">
        <v>5.7099999999999998E-2</v>
      </c>
      <c r="D18" s="121" t="s">
        <v>134</v>
      </c>
      <c r="E18" s="155">
        <f>+C18</f>
        <v>5.7099999999999998E-2</v>
      </c>
      <c r="F18" s="54">
        <f>+E18*B18</f>
        <v>4.5679999999999998E-2</v>
      </c>
      <c r="N18" t="s">
        <v>6</v>
      </c>
    </row>
    <row r="19" spans="1:14" ht="15.75">
      <c r="A19" s="2" t="s">
        <v>6</v>
      </c>
      <c r="B19" s="2"/>
      <c r="C19" s="2" t="s">
        <v>6</v>
      </c>
      <c r="D19" s="2" t="s">
        <v>6</v>
      </c>
      <c r="E19" s="15" t="s">
        <v>6</v>
      </c>
      <c r="F19" s="12" t="s">
        <v>6</v>
      </c>
      <c r="N19" t="s">
        <v>6</v>
      </c>
    </row>
    <row r="20" spans="1:14" ht="15.75">
      <c r="A20" s="2" t="s">
        <v>18</v>
      </c>
      <c r="B20" s="16">
        <v>0.2</v>
      </c>
      <c r="C20" s="16">
        <v>3.2899999999999999E-2</v>
      </c>
      <c r="D20" s="16">
        <v>0.26</v>
      </c>
      <c r="E20" s="155">
        <f>+C20*(1-D20)</f>
        <v>2.4346E-2</v>
      </c>
      <c r="F20" s="54">
        <f>+B20*E20</f>
        <v>4.8692000000000006E-3</v>
      </c>
      <c r="N20" t="s">
        <v>6</v>
      </c>
    </row>
    <row r="21" spans="1:14" ht="16.5" thickBot="1">
      <c r="A21" s="17" t="s">
        <v>6</v>
      </c>
      <c r="B21" s="17" t="s">
        <v>6</v>
      </c>
      <c r="C21" s="17" t="s">
        <v>6</v>
      </c>
      <c r="D21" s="17" t="s">
        <v>6</v>
      </c>
      <c r="E21" s="18" t="s">
        <v>6</v>
      </c>
      <c r="F21" s="19" t="s">
        <v>6</v>
      </c>
      <c r="N21" t="s">
        <v>6</v>
      </c>
    </row>
    <row r="22" spans="1:14" ht="15.75">
      <c r="A22" s="2" t="s">
        <v>19</v>
      </c>
      <c r="B22" s="156">
        <f>+B18+B20</f>
        <v>1</v>
      </c>
      <c r="C22" s="2" t="s">
        <v>6</v>
      </c>
      <c r="D22" s="2" t="s">
        <v>6</v>
      </c>
      <c r="E22" s="15" t="s">
        <v>6</v>
      </c>
      <c r="F22" s="54">
        <f>+F18+F20</f>
        <v>5.0549200000000002E-2</v>
      </c>
    </row>
    <row r="23" spans="1:14" ht="15.75">
      <c r="A23" s="24"/>
      <c r="B23" s="24"/>
      <c r="C23" s="24"/>
      <c r="D23" s="24"/>
      <c r="E23" s="24"/>
      <c r="F23" s="24"/>
    </row>
    <row r="24" spans="1:14" ht="15.75">
      <c r="E24" s="15" t="s">
        <v>20</v>
      </c>
      <c r="F24" s="54">
        <v>5.0500000000000003E-2</v>
      </c>
    </row>
    <row r="25" spans="1:14" ht="15.75">
      <c r="E25" s="15"/>
      <c r="F25" s="12"/>
    </row>
  </sheetData>
  <pageMargins left="0.25" right="0.25" top="0.75" bottom="0.75" header="0.3" footer="0.3"/>
  <pageSetup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A1:N55"/>
  <sheetViews>
    <sheetView zoomScale="70" zoomScaleNormal="70" zoomScalePageLayoutView="70" workbookViewId="0">
      <pane xSplit="1" topLeftCell="B1" activePane="topRight" state="frozen"/>
      <selection activeCell="D9" sqref="D9"/>
      <selection pane="topRight" activeCell="D9" sqref="D9"/>
    </sheetView>
  </sheetViews>
  <sheetFormatPr defaultRowHeight="15"/>
  <cols>
    <col min="1" max="1" width="60" customWidth="1"/>
    <col min="2" max="2" width="10.85546875" bestFit="1" customWidth="1"/>
    <col min="3" max="3" width="16.85546875" customWidth="1"/>
    <col min="4" max="4" width="19.5703125" customWidth="1"/>
    <col min="5" max="5" width="23" customWidth="1"/>
    <col min="6" max="6" width="21.7109375" customWidth="1"/>
    <col min="7" max="7" width="23" customWidth="1"/>
    <col min="8" max="8" width="28.85546875" customWidth="1"/>
    <col min="9" max="9" width="28.7109375" customWidth="1"/>
    <col min="10" max="10" width="28.140625" customWidth="1"/>
    <col min="11" max="11" width="26.42578125" customWidth="1"/>
    <col min="12" max="12" width="30.140625" bestFit="1" customWidth="1"/>
    <col min="13" max="13" width="9.140625" customWidth="1"/>
  </cols>
  <sheetData>
    <row r="1" spans="1:10" ht="21">
      <c r="A1" s="23" t="s">
        <v>0</v>
      </c>
    </row>
    <row r="2" spans="1:10" ht="15.75">
      <c r="A2" s="24" t="s">
        <v>1</v>
      </c>
    </row>
    <row r="3" spans="1:10">
      <c r="A3" s="22" t="s">
        <v>2</v>
      </c>
    </row>
    <row r="4" spans="1:10">
      <c r="E4" s="4"/>
      <c r="J4" t="s">
        <v>6</v>
      </c>
    </row>
    <row r="6" spans="1:10">
      <c r="A6" s="25" t="s">
        <v>21</v>
      </c>
    </row>
    <row r="10" spans="1:10" ht="15.75" thickBot="1"/>
    <row r="11" spans="1:10" ht="20.25">
      <c r="A11" s="31" t="s">
        <v>450</v>
      </c>
      <c r="B11" s="28"/>
      <c r="C11" s="28"/>
      <c r="I11" s="28"/>
      <c r="J11" s="28"/>
    </row>
    <row r="12" spans="1:10" ht="15.75" thickBot="1">
      <c r="A12" s="32" t="s">
        <v>6</v>
      </c>
      <c r="B12" s="33" t="s">
        <v>6</v>
      </c>
      <c r="C12" s="33" t="s">
        <v>6</v>
      </c>
      <c r="D12" s="33"/>
      <c r="E12" s="33"/>
      <c r="F12" s="33"/>
      <c r="G12" s="33" t="s">
        <v>6</v>
      </c>
      <c r="H12" s="34"/>
      <c r="I12" s="34"/>
      <c r="J12" s="34"/>
    </row>
    <row r="13" spans="1:10" ht="15.75">
      <c r="A13" s="117"/>
      <c r="B13" s="117"/>
      <c r="C13" s="117"/>
      <c r="D13" s="117"/>
      <c r="E13" s="117"/>
      <c r="F13" s="117"/>
      <c r="G13" s="117"/>
      <c r="H13" s="36" t="s">
        <v>23</v>
      </c>
      <c r="I13" s="36" t="s">
        <v>6</v>
      </c>
      <c r="J13" s="118"/>
    </row>
    <row r="14" spans="1:10" ht="15.75">
      <c r="A14" s="35"/>
      <c r="B14" s="35"/>
      <c r="C14" s="35"/>
      <c r="D14" s="40" t="s">
        <v>30</v>
      </c>
      <c r="E14" s="40" t="s">
        <v>30</v>
      </c>
      <c r="F14" s="40" t="s">
        <v>30</v>
      </c>
      <c r="G14" s="35"/>
      <c r="H14" s="35" t="s">
        <v>26</v>
      </c>
      <c r="I14" s="36" t="s">
        <v>23</v>
      </c>
      <c r="J14" s="36" t="s">
        <v>23</v>
      </c>
    </row>
    <row r="15" spans="1:10" ht="15.75">
      <c r="A15" s="35" t="s">
        <v>6</v>
      </c>
      <c r="B15" s="35" t="s">
        <v>27</v>
      </c>
      <c r="C15" s="35" t="s">
        <v>28</v>
      </c>
      <c r="D15" s="40" t="s">
        <v>29</v>
      </c>
      <c r="E15" s="40" t="s">
        <v>29</v>
      </c>
      <c r="F15" s="40" t="s">
        <v>25</v>
      </c>
      <c r="G15" s="36" t="s">
        <v>23</v>
      </c>
      <c r="H15" s="35" t="s">
        <v>31</v>
      </c>
      <c r="I15" s="35" t="s">
        <v>32</v>
      </c>
      <c r="J15" s="37" t="s">
        <v>47</v>
      </c>
    </row>
    <row r="16" spans="1:10" ht="16.5" thickBot="1">
      <c r="A16" s="38" t="s">
        <v>34</v>
      </c>
      <c r="B16" s="38" t="s">
        <v>35</v>
      </c>
      <c r="C16" s="38" t="s">
        <v>36</v>
      </c>
      <c r="D16" s="38" t="s">
        <v>37</v>
      </c>
      <c r="E16" s="38" t="s">
        <v>38</v>
      </c>
      <c r="F16" s="38" t="s">
        <v>29</v>
      </c>
      <c r="G16" s="38" t="s">
        <v>29</v>
      </c>
      <c r="H16" s="41" t="s">
        <v>39</v>
      </c>
      <c r="I16" s="38" t="s">
        <v>40</v>
      </c>
      <c r="J16" s="38" t="s">
        <v>40</v>
      </c>
    </row>
    <row r="17" spans="1:14" ht="15.75">
      <c r="A17" s="42" t="s">
        <v>41</v>
      </c>
      <c r="B17" s="42" t="s">
        <v>41</v>
      </c>
      <c r="C17" s="42" t="s">
        <v>41</v>
      </c>
      <c r="D17" s="42" t="s">
        <v>95</v>
      </c>
      <c r="E17" s="42" t="s">
        <v>95</v>
      </c>
      <c r="F17" s="42" t="s">
        <v>95</v>
      </c>
      <c r="G17" s="42" t="s">
        <v>41</v>
      </c>
      <c r="H17" s="42" t="s">
        <v>42</v>
      </c>
      <c r="I17" s="42" t="s">
        <v>42</v>
      </c>
      <c r="J17" s="42" t="s">
        <v>451</v>
      </c>
      <c r="K17" s="404" t="s">
        <v>6</v>
      </c>
      <c r="L17" s="404" t="s">
        <v>6</v>
      </c>
      <c r="N17" t="s">
        <v>6</v>
      </c>
    </row>
    <row r="18" spans="1:14" ht="15.75">
      <c r="A18" s="24" t="s">
        <v>452</v>
      </c>
      <c r="B18" s="2" t="s">
        <v>453</v>
      </c>
      <c r="C18" s="2" t="s">
        <v>454</v>
      </c>
      <c r="D18" s="405">
        <v>110.69</v>
      </c>
      <c r="E18" s="405">
        <v>109.08</v>
      </c>
      <c r="F18" s="46">
        <f>AVERAGE(D18,E18)</f>
        <v>109.88499999999999</v>
      </c>
      <c r="G18" s="46">
        <v>109.85</v>
      </c>
      <c r="H18" s="406">
        <v>710300000</v>
      </c>
      <c r="I18" s="157">
        <v>0</v>
      </c>
      <c r="J18" s="52">
        <f>((910+11996)*1000000)*0.78555</f>
        <v>10138308300</v>
      </c>
      <c r="K18" s="407" t="s">
        <v>6</v>
      </c>
      <c r="L18" s="74" t="s">
        <v>6</v>
      </c>
      <c r="N18" t="s">
        <v>6</v>
      </c>
    </row>
    <row r="19" spans="1:14" ht="15.75">
      <c r="A19" s="24" t="s">
        <v>455</v>
      </c>
      <c r="B19" s="2" t="s">
        <v>456</v>
      </c>
      <c r="C19" s="2" t="s">
        <v>454</v>
      </c>
      <c r="D19" s="46">
        <v>70.040000000000006</v>
      </c>
      <c r="E19" s="45">
        <v>69.290000000000006</v>
      </c>
      <c r="F19" s="46">
        <f t="shared" ref="F19:F23" si="0">AVERAGE(D19,E19)</f>
        <v>69.665000000000006</v>
      </c>
      <c r="G19" s="46">
        <v>69.34</v>
      </c>
      <c r="H19" s="47">
        <v>133300000</v>
      </c>
      <c r="I19" s="47">
        <v>0</v>
      </c>
      <c r="J19" s="47">
        <f>((1186+8585)*1000000)*0.78555</f>
        <v>7675609050</v>
      </c>
      <c r="K19" s="407" t="s">
        <v>6</v>
      </c>
      <c r="L19" s="408" t="s">
        <v>6</v>
      </c>
      <c r="N19" t="s">
        <v>6</v>
      </c>
    </row>
    <row r="20" spans="1:14" ht="15.75">
      <c r="A20" s="24" t="s">
        <v>457</v>
      </c>
      <c r="B20" s="2" t="s">
        <v>458</v>
      </c>
      <c r="C20" s="14" t="s">
        <v>454</v>
      </c>
      <c r="D20" s="46">
        <v>90.91</v>
      </c>
      <c r="E20" s="45">
        <v>89.66</v>
      </c>
      <c r="F20" s="46">
        <f t="shared" si="0"/>
        <v>90.284999999999997</v>
      </c>
      <c r="G20" s="46">
        <v>90.75</v>
      </c>
      <c r="H20" s="47">
        <v>762529000</v>
      </c>
      <c r="I20" s="47">
        <v>0</v>
      </c>
      <c r="J20" s="47">
        <v>16705000000</v>
      </c>
      <c r="N20" s="47" t="s">
        <v>6</v>
      </c>
    </row>
    <row r="21" spans="1:14" ht="15.75">
      <c r="A21" s="24" t="s">
        <v>459</v>
      </c>
      <c r="B21" s="2" t="s">
        <v>460</v>
      </c>
      <c r="C21" s="14" t="s">
        <v>454</v>
      </c>
      <c r="D21" s="46">
        <v>204.53</v>
      </c>
      <c r="E21" s="45">
        <v>201.37</v>
      </c>
      <c r="F21" s="46">
        <f t="shared" si="0"/>
        <v>202.95</v>
      </c>
      <c r="G21" s="45">
        <v>204.13</v>
      </c>
      <c r="H21" s="122">
        <v>91047107</v>
      </c>
      <c r="I21" s="47">
        <f>5400000</f>
        <v>5400000</v>
      </c>
      <c r="J21" s="47">
        <f>(6.4+3764.4)*1000000</f>
        <v>3770800000</v>
      </c>
      <c r="L21" t="s">
        <v>6</v>
      </c>
      <c r="N21" t="s">
        <v>6</v>
      </c>
    </row>
    <row r="22" spans="1:14" ht="15.75">
      <c r="A22" s="24" t="s">
        <v>461</v>
      </c>
      <c r="B22" s="2" t="s">
        <v>462</v>
      </c>
      <c r="C22" s="2" t="s">
        <v>454</v>
      </c>
      <c r="D22" s="46">
        <v>238.05</v>
      </c>
      <c r="E22" s="45">
        <v>234.39</v>
      </c>
      <c r="F22" s="46">
        <f t="shared" si="0"/>
        <v>236.22</v>
      </c>
      <c r="G22" s="46">
        <v>237.61</v>
      </c>
      <c r="H22" s="47">
        <v>252095082</v>
      </c>
      <c r="I22" s="47">
        <v>0</v>
      </c>
      <c r="J22" s="47">
        <f>(579+12102)*1000000</f>
        <v>12681000000</v>
      </c>
      <c r="N22" s="409"/>
    </row>
    <row r="23" spans="1:14" ht="15.75">
      <c r="A23" s="24" t="s">
        <v>463</v>
      </c>
      <c r="B23" s="2" t="s">
        <v>464</v>
      </c>
      <c r="C23" s="2" t="s">
        <v>454</v>
      </c>
      <c r="D23" s="46">
        <v>208.65</v>
      </c>
      <c r="E23" s="45">
        <v>205.66</v>
      </c>
      <c r="F23" s="46">
        <f t="shared" si="0"/>
        <v>207.155</v>
      </c>
      <c r="G23" s="46">
        <v>208.22</v>
      </c>
      <c r="H23" s="47">
        <v>671351360</v>
      </c>
      <c r="I23" s="47">
        <v>0</v>
      </c>
      <c r="J23" s="47">
        <f>25660000000+1069000000</f>
        <v>26729000000</v>
      </c>
      <c r="N23" s="47"/>
    </row>
    <row r="24" spans="1:14" ht="15.75">
      <c r="A24" s="49" t="s">
        <v>6</v>
      </c>
      <c r="B24" s="395" t="s">
        <v>6</v>
      </c>
      <c r="C24" s="395" t="s">
        <v>6</v>
      </c>
      <c r="D24" s="395"/>
      <c r="E24" s="395"/>
      <c r="F24" s="395"/>
      <c r="G24" s="396" t="s">
        <v>6</v>
      </c>
      <c r="H24" s="49"/>
      <c r="I24" s="49"/>
      <c r="J24" s="49"/>
      <c r="N24" s="409"/>
    </row>
    <row r="25" spans="1:14" ht="16.5" thickBot="1">
      <c r="A25" s="48"/>
      <c r="B25" s="48"/>
      <c r="C25" s="48"/>
      <c r="D25" s="48"/>
      <c r="E25" s="48"/>
      <c r="F25" s="48"/>
      <c r="G25" s="48"/>
      <c r="H25" s="48"/>
      <c r="I25" s="48"/>
      <c r="J25" s="48"/>
    </row>
    <row r="26" spans="1:14" ht="15.75">
      <c r="A26" s="49"/>
      <c r="B26" s="49"/>
      <c r="C26" s="49"/>
      <c r="D26" s="49"/>
      <c r="E26" s="49"/>
      <c r="F26" s="49"/>
      <c r="G26" s="49"/>
      <c r="H26" s="49"/>
      <c r="I26" s="49"/>
      <c r="J26" s="49"/>
    </row>
    <row r="27" spans="1:14" ht="15.75">
      <c r="A27" s="49"/>
      <c r="B27" s="49"/>
      <c r="C27" s="49"/>
      <c r="D27" s="49"/>
      <c r="E27" s="49" t="s">
        <v>6</v>
      </c>
      <c r="F27" s="49" t="s">
        <v>6</v>
      </c>
      <c r="G27" s="49" t="s">
        <v>6</v>
      </c>
      <c r="H27" s="410" t="s">
        <v>6</v>
      </c>
      <c r="I27" s="49" t="s">
        <v>6</v>
      </c>
      <c r="K27" s="144"/>
      <c r="L27" s="49"/>
    </row>
    <row r="28" spans="1:14" ht="15.75">
      <c r="A28" s="49"/>
      <c r="B28" s="49"/>
      <c r="C28" s="49"/>
      <c r="D28" s="49"/>
      <c r="E28" s="49"/>
      <c r="F28" s="49" t="s">
        <v>6</v>
      </c>
      <c r="G28" s="50" t="s">
        <v>6</v>
      </c>
      <c r="H28" s="49"/>
      <c r="I28" s="49" t="s">
        <v>6</v>
      </c>
      <c r="K28" s="411"/>
      <c r="L28" s="49"/>
    </row>
    <row r="29" spans="1:14" ht="15.75">
      <c r="A29" s="49"/>
      <c r="B29" s="49"/>
      <c r="C29" s="49"/>
      <c r="D29" s="49"/>
      <c r="F29" s="49"/>
      <c r="G29" s="50" t="s">
        <v>6</v>
      </c>
      <c r="H29" s="49"/>
      <c r="I29" s="49"/>
      <c r="J29" s="49" t="s">
        <v>6</v>
      </c>
      <c r="K29" s="49"/>
      <c r="L29" s="49"/>
    </row>
    <row r="30" spans="1:14" ht="15.75">
      <c r="A30" s="35"/>
      <c r="B30" s="35"/>
      <c r="C30" s="35"/>
      <c r="D30" s="36" t="s">
        <v>23</v>
      </c>
      <c r="E30" s="36" t="s">
        <v>23</v>
      </c>
      <c r="F30" s="412"/>
      <c r="G30" s="36" t="s">
        <v>23</v>
      </c>
      <c r="H30" s="36" t="s">
        <v>23</v>
      </c>
      <c r="I30" s="36" t="s">
        <v>23</v>
      </c>
      <c r="J30" s="36" t="s">
        <v>23</v>
      </c>
      <c r="L30" s="49"/>
    </row>
    <row r="31" spans="1:14" ht="15.75">
      <c r="A31" s="35" t="s">
        <v>6</v>
      </c>
      <c r="B31" s="35" t="s">
        <v>27</v>
      </c>
      <c r="C31" s="35" t="s">
        <v>28</v>
      </c>
      <c r="D31" s="35" t="s">
        <v>26</v>
      </c>
      <c r="E31" s="35" t="s">
        <v>465</v>
      </c>
      <c r="F31" s="404"/>
      <c r="G31" s="37" t="s">
        <v>201</v>
      </c>
      <c r="H31" s="37" t="s">
        <v>48</v>
      </c>
      <c r="I31" s="37" t="s">
        <v>49</v>
      </c>
      <c r="J31" s="37" t="s">
        <v>202</v>
      </c>
      <c r="L31" s="49" t="s">
        <v>6</v>
      </c>
    </row>
    <row r="32" spans="1:14" ht="16.5" thickBot="1">
      <c r="A32" s="38" t="s">
        <v>34</v>
      </c>
      <c r="B32" s="38" t="s">
        <v>35</v>
      </c>
      <c r="C32" s="38" t="s">
        <v>36</v>
      </c>
      <c r="D32" s="38" t="s">
        <v>51</v>
      </c>
      <c r="E32" s="38" t="s">
        <v>51</v>
      </c>
      <c r="F32" s="413"/>
      <c r="G32" s="38" t="s">
        <v>51</v>
      </c>
      <c r="H32" s="38" t="s">
        <v>52</v>
      </c>
      <c r="I32" s="38" t="s">
        <v>6</v>
      </c>
      <c r="J32" s="38" t="s">
        <v>6</v>
      </c>
    </row>
    <row r="33" spans="1:10" ht="15.75">
      <c r="A33" s="42" t="s">
        <v>41</v>
      </c>
      <c r="B33" s="42" t="s">
        <v>41</v>
      </c>
      <c r="C33" s="42" t="s">
        <v>41</v>
      </c>
      <c r="D33" s="42" t="s">
        <v>53</v>
      </c>
      <c r="E33" s="42" t="s">
        <v>42</v>
      </c>
      <c r="F33" s="414"/>
      <c r="G33" s="42" t="s">
        <v>42</v>
      </c>
      <c r="H33" s="42" t="s">
        <v>53</v>
      </c>
      <c r="I33" s="42" t="s">
        <v>53</v>
      </c>
      <c r="J33" s="42" t="s">
        <v>53</v>
      </c>
    </row>
    <row r="34" spans="1:10" ht="15.75">
      <c r="A34" s="224" t="str">
        <f t="shared" ref="A34:C39" si="1">+A18</f>
        <v>Canadian National</v>
      </c>
      <c r="B34" s="224" t="str">
        <f t="shared" si="1"/>
        <v>CNI</v>
      </c>
      <c r="C34" s="224" t="str">
        <f t="shared" si="1"/>
        <v>Railroad</v>
      </c>
      <c r="D34" s="52">
        <f>(H18)*G18</f>
        <v>78026455000</v>
      </c>
      <c r="E34" s="52">
        <f>(1/1)*I18</f>
        <v>0</v>
      </c>
      <c r="F34" s="145"/>
      <c r="G34" s="47">
        <f>(16046/12832)*J18</f>
        <v>12677625855.813591</v>
      </c>
      <c r="H34" s="232">
        <f>+D34+E34+F34+G34</f>
        <v>90704080855.813599</v>
      </c>
      <c r="I34" s="54">
        <f t="shared" ref="I34:I39" si="2">(+D34)/H34</f>
        <v>0.86023092085607045</v>
      </c>
      <c r="J34" s="54">
        <f>(E34+F34+G34)/H34</f>
        <v>0.1397690791439295</v>
      </c>
    </row>
    <row r="35" spans="1:10" ht="15.75">
      <c r="A35" s="224" t="str">
        <f t="shared" si="1"/>
        <v>Canadian Pacific</v>
      </c>
      <c r="B35" s="224" t="str">
        <f t="shared" si="1"/>
        <v>CP</v>
      </c>
      <c r="C35" s="224" t="str">
        <f t="shared" si="1"/>
        <v>Railroad</v>
      </c>
      <c r="D35" s="52">
        <f>(H19)*G19</f>
        <v>9243022000</v>
      </c>
      <c r="E35" s="52">
        <f>(1/1)*I19</f>
        <v>0</v>
      </c>
      <c r="F35" s="145"/>
      <c r="G35" s="47">
        <f>(11597/8951)*J19</f>
        <v>9944591459.3732548</v>
      </c>
      <c r="H35" s="232">
        <f t="shared" ref="H35:H39" si="3">+D35+E35+F35+G35</f>
        <v>19187613459.373253</v>
      </c>
      <c r="I35" s="54">
        <f t="shared" si="2"/>
        <v>0.48171816779458487</v>
      </c>
      <c r="J35" s="54">
        <f t="shared" ref="J35:J39" si="4">(E35+F35+G35)/H35</f>
        <v>0.51828183220541524</v>
      </c>
    </row>
    <row r="36" spans="1:10" ht="15.75">
      <c r="A36" s="224" t="str">
        <f t="shared" si="1"/>
        <v>CSX Corp</v>
      </c>
      <c r="B36" s="224" t="str">
        <f t="shared" si="1"/>
        <v>CSX</v>
      </c>
      <c r="C36" s="224" t="str">
        <f t="shared" si="1"/>
        <v>Railroad</v>
      </c>
      <c r="D36" s="52">
        <f>(H20)*G20</f>
        <v>69199506750</v>
      </c>
      <c r="E36" s="52">
        <f>(1/1)*I20</f>
        <v>0</v>
      </c>
      <c r="F36" s="145"/>
      <c r="G36" s="47">
        <f>(21076/16705)*J20</f>
        <v>21076000000</v>
      </c>
      <c r="H36" s="232">
        <f t="shared" si="3"/>
        <v>90275506750</v>
      </c>
      <c r="I36" s="54">
        <f t="shared" si="2"/>
        <v>0.76653689623293086</v>
      </c>
      <c r="J36" s="54">
        <f t="shared" si="4"/>
        <v>0.23346310376706914</v>
      </c>
    </row>
    <row r="37" spans="1:10" ht="15.75">
      <c r="A37" s="224" t="str">
        <f t="shared" si="1"/>
        <v>Kansas City Southern</v>
      </c>
      <c r="B37" s="224" t="str">
        <f t="shared" si="1"/>
        <v>KSU</v>
      </c>
      <c r="C37" s="224" t="str">
        <f t="shared" si="1"/>
        <v>Railroad</v>
      </c>
      <c r="D37" s="52">
        <f>(H21)*G21</f>
        <v>18585445951.91</v>
      </c>
      <c r="E37" s="52">
        <f>(215199*30.72)</f>
        <v>6610913.2799999993</v>
      </c>
      <c r="F37" s="145"/>
      <c r="G37" s="47">
        <f>(4368.6/3770.8)*J21</f>
        <v>4368600000</v>
      </c>
      <c r="H37" s="232">
        <f t="shared" si="3"/>
        <v>22960656865.189999</v>
      </c>
      <c r="I37" s="54">
        <f t="shared" si="2"/>
        <v>0.80944748493179508</v>
      </c>
      <c r="J37" s="54">
        <f t="shared" si="4"/>
        <v>0.19055251506820492</v>
      </c>
    </row>
    <row r="38" spans="1:10" ht="15.75">
      <c r="A38" s="224" t="str">
        <f t="shared" si="1"/>
        <v>Norfolk Southern</v>
      </c>
      <c r="B38" s="224" t="str">
        <f t="shared" si="1"/>
        <v>NSC</v>
      </c>
      <c r="C38" s="224" t="str">
        <f t="shared" si="1"/>
        <v>Railroad</v>
      </c>
      <c r="D38" s="52">
        <f t="shared" ref="D38:D39" si="5">(H22)*G22</f>
        <v>59900312434.020004</v>
      </c>
      <c r="E38" s="52">
        <f>(1/1)*I22</f>
        <v>0</v>
      </c>
      <c r="F38" s="145"/>
      <c r="G38" s="47">
        <f>(16664/12681)*J22</f>
        <v>16663999999.999998</v>
      </c>
      <c r="H38" s="232">
        <f t="shared" si="3"/>
        <v>76564312434.020004</v>
      </c>
      <c r="I38" s="54">
        <f t="shared" si="2"/>
        <v>0.78235290737626162</v>
      </c>
      <c r="J38" s="54">
        <f t="shared" si="4"/>
        <v>0.21764709262373841</v>
      </c>
    </row>
    <row r="39" spans="1:10" ht="15.75">
      <c r="A39" s="224" t="str">
        <f t="shared" si="1"/>
        <v>Union Pacific Railroad</v>
      </c>
      <c r="B39" s="224" t="str">
        <f t="shared" si="1"/>
        <v>UNP</v>
      </c>
      <c r="C39" s="224" t="str">
        <f t="shared" si="1"/>
        <v>Railroad</v>
      </c>
      <c r="D39" s="52">
        <f t="shared" si="5"/>
        <v>139788780179.20001</v>
      </c>
      <c r="E39" s="52">
        <f>(1/1)*I23</f>
        <v>0</v>
      </c>
      <c r="F39" s="145"/>
      <c r="G39" s="47">
        <f>(31.9/26.8)*J23</f>
        <v>31815488805.970146</v>
      </c>
      <c r="H39" s="232">
        <f t="shared" si="3"/>
        <v>171604268985.17017</v>
      </c>
      <c r="I39" s="54">
        <f t="shared" si="2"/>
        <v>0.81459966588174093</v>
      </c>
      <c r="J39" s="54">
        <f t="shared" si="4"/>
        <v>0.18540033411825904</v>
      </c>
    </row>
    <row r="40" spans="1:10" ht="16.5" thickBot="1">
      <c r="A40" s="48"/>
      <c r="B40" s="48"/>
      <c r="C40" s="48"/>
      <c r="D40" s="48"/>
      <c r="E40" s="48" t="s">
        <v>6</v>
      </c>
      <c r="F40" s="415"/>
      <c r="G40" s="48"/>
      <c r="H40" s="48"/>
      <c r="I40" s="48"/>
      <c r="J40" s="48"/>
    </row>
    <row r="42" spans="1:10">
      <c r="A42" t="s">
        <v>242</v>
      </c>
      <c r="F42" s="416" t="s">
        <v>6</v>
      </c>
    </row>
    <row r="43" spans="1:10" ht="15.75">
      <c r="D43" s="183"/>
      <c r="E43" s="417"/>
      <c r="F43" s="418"/>
      <c r="G43" s="87" t="s">
        <v>6</v>
      </c>
      <c r="H43" s="58" t="s">
        <v>55</v>
      </c>
      <c r="I43" s="194" t="s">
        <v>466</v>
      </c>
      <c r="J43" s="194" t="s">
        <v>467</v>
      </c>
    </row>
    <row r="44" spans="1:10" ht="15.75">
      <c r="D44" s="419"/>
      <c r="E44" s="420"/>
      <c r="F44" s="420"/>
      <c r="G44" s="407" t="s">
        <v>6</v>
      </c>
      <c r="H44" s="58" t="s">
        <v>57</v>
      </c>
      <c r="I44" s="54">
        <f>MEDIAN(I34:I39)</f>
        <v>0.79590019615402841</v>
      </c>
      <c r="J44" s="54">
        <f>MEDIAN(J34:J39)</f>
        <v>0.20409980384597165</v>
      </c>
    </row>
    <row r="45" spans="1:10" ht="15.75">
      <c r="A45" s="73"/>
      <c r="D45" s="183"/>
      <c r="E45" s="420"/>
      <c r="F45" s="420"/>
      <c r="G45" s="22" t="s">
        <v>6</v>
      </c>
      <c r="H45" s="58" t="s">
        <v>25</v>
      </c>
      <c r="I45" s="54">
        <f>AVERAGE(I34:I39)</f>
        <v>0.75248100717889732</v>
      </c>
      <c r="J45" s="54">
        <f>AVERAGE(J34:J39)</f>
        <v>0.24751899282110268</v>
      </c>
    </row>
    <row r="46" spans="1:10" ht="15.75">
      <c r="A46" s="25"/>
      <c r="D46" s="183"/>
      <c r="E46" s="420"/>
      <c r="F46" s="420"/>
      <c r="H46" s="24"/>
      <c r="I46" s="24"/>
      <c r="J46" s="24"/>
    </row>
    <row r="47" spans="1:10" ht="21">
      <c r="D47" s="183"/>
      <c r="E47" s="420"/>
      <c r="F47" s="420"/>
      <c r="H47" s="61" t="s">
        <v>20</v>
      </c>
      <c r="I47" s="163">
        <v>0.8</v>
      </c>
      <c r="J47" s="163">
        <v>0.2</v>
      </c>
    </row>
    <row r="48" spans="1:10">
      <c r="D48" s="183"/>
      <c r="E48" s="420"/>
      <c r="F48" s="420"/>
    </row>
    <row r="49" spans="4:9">
      <c r="D49" s="183"/>
      <c r="E49" s="420"/>
      <c r="F49" s="420"/>
    </row>
    <row r="50" spans="4:9">
      <c r="D50" s="419"/>
      <c r="E50" s="420"/>
      <c r="F50" s="420"/>
      <c r="I50" t="s">
        <v>6</v>
      </c>
    </row>
    <row r="51" spans="4:9">
      <c r="D51" s="183"/>
      <c r="E51" s="420"/>
      <c r="F51" s="420"/>
    </row>
    <row r="52" spans="4:9">
      <c r="D52" s="183"/>
      <c r="E52" s="420"/>
      <c r="F52" s="420"/>
    </row>
    <row r="53" spans="4:9">
      <c r="D53" s="183"/>
      <c r="E53" s="420"/>
      <c r="F53" s="420"/>
    </row>
    <row r="54" spans="4:9">
      <c r="D54" s="183"/>
      <c r="E54" s="420"/>
      <c r="F54" s="420"/>
    </row>
    <row r="55" spans="4:9">
      <c r="D55" s="183"/>
      <c r="E55" s="420"/>
      <c r="F55" s="420"/>
    </row>
  </sheetData>
  <pageMargins left="0.25" right="0.25" top="0.75" bottom="0.75" header="0.3" footer="0.3"/>
  <pageSetup scale="42" orientation="landscape" r:id="rId1"/>
  <legacy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A1:P22"/>
  <sheetViews>
    <sheetView zoomScaleNormal="100" workbookViewId="0">
      <selection activeCell="D9" sqref="D9"/>
    </sheetView>
  </sheetViews>
  <sheetFormatPr defaultRowHeight="15"/>
  <cols>
    <col min="1" max="1" width="38.85546875" customWidth="1"/>
    <col min="2" max="4" width="13" customWidth="1"/>
    <col min="5" max="5" width="14.42578125" customWidth="1"/>
    <col min="6" max="6" width="13" customWidth="1"/>
    <col min="7" max="7" width="11.140625" customWidth="1"/>
    <col min="8" max="8" width="14.42578125" customWidth="1"/>
    <col min="9" max="9" width="15.85546875" customWidth="1"/>
    <col min="10" max="10" width="14" customWidth="1"/>
    <col min="13" max="13" width="15.140625" customWidth="1"/>
  </cols>
  <sheetData>
    <row r="1" spans="1:16" ht="21">
      <c r="A1" s="23" t="s">
        <v>0</v>
      </c>
    </row>
    <row r="2" spans="1:16" ht="15.75">
      <c r="A2" s="24" t="s">
        <v>1</v>
      </c>
    </row>
    <row r="3" spans="1:16">
      <c r="A3" s="22" t="s">
        <v>2</v>
      </c>
    </row>
    <row r="4" spans="1:16">
      <c r="F4" s="151"/>
      <c r="G4" s="151"/>
      <c r="H4" s="286"/>
      <c r="I4" s="286"/>
    </row>
    <row r="5" spans="1:16" ht="15.75">
      <c r="A5" s="76" t="s">
        <v>468</v>
      </c>
    </row>
    <row r="6" spans="1:16" ht="15.75" thickBot="1">
      <c r="A6" s="77" t="s">
        <v>6</v>
      </c>
      <c r="B6" s="77" t="s">
        <v>6</v>
      </c>
      <c r="C6" s="77" t="s">
        <v>6</v>
      </c>
      <c r="D6" s="77" t="s">
        <v>6</v>
      </c>
      <c r="E6" s="77" t="s">
        <v>6</v>
      </c>
      <c r="F6" s="77" t="s">
        <v>6</v>
      </c>
      <c r="G6" s="77"/>
      <c r="H6" s="77" t="s">
        <v>6</v>
      </c>
      <c r="I6" s="77" t="s">
        <v>6</v>
      </c>
    </row>
    <row r="7" spans="1:16">
      <c r="A7" s="8" t="s">
        <v>6</v>
      </c>
      <c r="B7" s="8" t="s">
        <v>27</v>
      </c>
      <c r="C7" s="8" t="s">
        <v>28</v>
      </c>
      <c r="D7" s="8" t="s">
        <v>63</v>
      </c>
      <c r="E7" s="8" t="s">
        <v>64</v>
      </c>
      <c r="F7" s="8" t="s">
        <v>65</v>
      </c>
      <c r="G7" s="8" t="s">
        <v>66</v>
      </c>
      <c r="H7" s="8" t="s">
        <v>68</v>
      </c>
      <c r="I7" s="8" t="s">
        <v>68</v>
      </c>
    </row>
    <row r="8" spans="1:16" ht="15.75" thickBot="1">
      <c r="A8" s="7" t="s">
        <v>34</v>
      </c>
      <c r="B8" s="7" t="s">
        <v>35</v>
      </c>
      <c r="C8" s="7" t="s">
        <v>36</v>
      </c>
      <c r="D8" s="7"/>
      <c r="E8" s="7" t="s">
        <v>69</v>
      </c>
      <c r="F8" s="7" t="s">
        <v>70</v>
      </c>
      <c r="G8" s="7" t="s">
        <v>71</v>
      </c>
      <c r="H8" s="7" t="s">
        <v>71</v>
      </c>
      <c r="I8" s="7" t="s">
        <v>72</v>
      </c>
    </row>
    <row r="9" spans="1:16">
      <c r="A9" s="9" t="s">
        <v>41</v>
      </c>
      <c r="B9" s="9" t="s">
        <v>41</v>
      </c>
      <c r="C9" s="9" t="s">
        <v>41</v>
      </c>
      <c r="D9" s="9" t="s">
        <v>41</v>
      </c>
      <c r="E9" s="9" t="s">
        <v>41</v>
      </c>
      <c r="F9" s="9" t="s">
        <v>41</v>
      </c>
      <c r="G9" s="9" t="s">
        <v>66</v>
      </c>
      <c r="H9" s="9" t="s">
        <v>68</v>
      </c>
      <c r="I9" s="9" t="s">
        <v>68</v>
      </c>
    </row>
    <row r="10" spans="1:16">
      <c r="A10" s="8"/>
      <c r="B10" s="8"/>
      <c r="C10" s="8"/>
      <c r="D10" s="8"/>
      <c r="E10" s="8"/>
      <c r="F10" s="8"/>
      <c r="G10" s="8"/>
      <c r="H10" s="8"/>
      <c r="I10" s="8"/>
    </row>
    <row r="11" spans="1:16" ht="15.75">
      <c r="A11" s="22" t="s">
        <v>452</v>
      </c>
      <c r="B11" s="120" t="s">
        <v>453</v>
      </c>
      <c r="C11" s="2" t="s">
        <v>454</v>
      </c>
      <c r="D11" s="78">
        <v>0.85</v>
      </c>
      <c r="E11" s="81">
        <v>0.22</v>
      </c>
      <c r="F11" s="80" t="s">
        <v>206</v>
      </c>
      <c r="G11" s="80" t="s">
        <v>206</v>
      </c>
      <c r="H11" s="80" t="s">
        <v>92</v>
      </c>
      <c r="I11" s="13">
        <v>2.7900000000000001E-2</v>
      </c>
    </row>
    <row r="12" spans="1:16" ht="15.75">
      <c r="A12" s="22" t="s">
        <v>455</v>
      </c>
      <c r="B12" s="3" t="s">
        <v>456</v>
      </c>
      <c r="C12" s="2" t="s">
        <v>454</v>
      </c>
      <c r="D12" s="78">
        <v>1</v>
      </c>
      <c r="E12" s="81">
        <v>0.25</v>
      </c>
      <c r="F12" s="80" t="s">
        <v>206</v>
      </c>
      <c r="G12" s="80" t="s">
        <v>208</v>
      </c>
      <c r="H12" s="78" t="s">
        <v>104</v>
      </c>
      <c r="I12" s="81">
        <v>3.2899999999999999E-2</v>
      </c>
      <c r="J12" t="s">
        <v>6</v>
      </c>
    </row>
    <row r="13" spans="1:16" ht="15.75">
      <c r="A13" s="22" t="s">
        <v>457</v>
      </c>
      <c r="B13" s="3" t="s">
        <v>458</v>
      </c>
      <c r="C13" s="2" t="s">
        <v>454</v>
      </c>
      <c r="D13" s="78">
        <v>1.1000000000000001</v>
      </c>
      <c r="E13" s="81">
        <v>0.23</v>
      </c>
      <c r="F13" s="80" t="s">
        <v>105</v>
      </c>
      <c r="G13" s="80" t="s">
        <v>208</v>
      </c>
      <c r="H13" s="78" t="s">
        <v>104</v>
      </c>
      <c r="I13" s="81">
        <v>3.2899999999999999E-2</v>
      </c>
    </row>
    <row r="14" spans="1:16" ht="15.75">
      <c r="A14" s="22" t="s">
        <v>459</v>
      </c>
      <c r="B14" s="3" t="s">
        <v>460</v>
      </c>
      <c r="C14" s="2" t="s">
        <v>454</v>
      </c>
      <c r="D14" s="78">
        <v>1.1000000000000001</v>
      </c>
      <c r="E14" s="81">
        <v>0.28000000000000003</v>
      </c>
      <c r="F14" s="80" t="s">
        <v>206</v>
      </c>
      <c r="G14" s="80" t="s">
        <v>76</v>
      </c>
      <c r="H14" s="78" t="s">
        <v>77</v>
      </c>
      <c r="I14" s="81">
        <v>3.2899999999999999E-2</v>
      </c>
    </row>
    <row r="15" spans="1:16" ht="15.75">
      <c r="A15" s="22" t="s">
        <v>461</v>
      </c>
      <c r="B15" s="3" t="s">
        <v>462</v>
      </c>
      <c r="C15" s="2" t="s">
        <v>454</v>
      </c>
      <c r="D15" s="78">
        <v>1.1499999999999999</v>
      </c>
      <c r="E15" s="81">
        <v>0.23</v>
      </c>
      <c r="F15" s="80" t="s">
        <v>91</v>
      </c>
      <c r="G15" s="80" t="s">
        <v>208</v>
      </c>
      <c r="H15" s="78" t="s">
        <v>104</v>
      </c>
      <c r="I15" s="249">
        <v>3.2899999999999999E-2</v>
      </c>
      <c r="P15" t="s">
        <v>6</v>
      </c>
    </row>
    <row r="16" spans="1:16" ht="15.75">
      <c r="A16" s="22" t="s">
        <v>469</v>
      </c>
      <c r="B16" s="3" t="s">
        <v>464</v>
      </c>
      <c r="C16" s="2" t="s">
        <v>454</v>
      </c>
      <c r="D16" s="78">
        <v>1.1000000000000001</v>
      </c>
      <c r="E16" s="81">
        <v>0.24</v>
      </c>
      <c r="F16" s="80" t="s">
        <v>75</v>
      </c>
      <c r="G16" s="80" t="s">
        <v>207</v>
      </c>
      <c r="H16" s="78" t="s">
        <v>104</v>
      </c>
      <c r="I16" s="81">
        <v>3.2899999999999999E-2</v>
      </c>
      <c r="J16" t="s">
        <v>6</v>
      </c>
      <c r="P16" t="s">
        <v>6</v>
      </c>
    </row>
    <row r="17" spans="3:16" ht="15.75" thickBot="1">
      <c r="D17" s="83"/>
      <c r="E17" s="83"/>
      <c r="F17" s="83"/>
      <c r="G17" s="83"/>
      <c r="H17" s="83"/>
      <c r="I17" s="83"/>
      <c r="P17" t="s">
        <v>6</v>
      </c>
    </row>
    <row r="18" spans="3:16" ht="15.75" thickTop="1">
      <c r="C18" s="3" t="s">
        <v>55</v>
      </c>
      <c r="D18" s="120" t="s">
        <v>470</v>
      </c>
      <c r="E18" s="398" t="s">
        <v>471</v>
      </c>
      <c r="F18" s="80" t="s">
        <v>472</v>
      </c>
      <c r="G18" s="80" t="s">
        <v>560</v>
      </c>
      <c r="H18" s="78" t="s">
        <v>473</v>
      </c>
      <c r="I18" s="398" t="s">
        <v>138</v>
      </c>
      <c r="P18" t="s">
        <v>6</v>
      </c>
    </row>
    <row r="19" spans="3:16">
      <c r="C19" s="87" t="s">
        <v>57</v>
      </c>
      <c r="D19" s="187">
        <f>AVERAGE(D11:D16)</f>
        <v>1.05</v>
      </c>
      <c r="E19" s="256">
        <f>AVERAGE(E11:E16)</f>
        <v>0.24166666666666667</v>
      </c>
      <c r="F19" s="80" t="s">
        <v>206</v>
      </c>
      <c r="G19" s="80" t="s">
        <v>208</v>
      </c>
      <c r="H19" s="78" t="s">
        <v>104</v>
      </c>
      <c r="I19" s="13">
        <f>MEDIAN(I11:I16)</f>
        <v>3.2899999999999999E-2</v>
      </c>
      <c r="P19" t="s">
        <v>6</v>
      </c>
    </row>
    <row r="20" spans="3:16">
      <c r="C20" s="87" t="s">
        <v>25</v>
      </c>
      <c r="D20" s="255">
        <f>MEDIAN(D11:D16)</f>
        <v>1.1000000000000001</v>
      </c>
      <c r="E20" s="13">
        <f>MEDIAN(E11:E16)</f>
        <v>0.23499999999999999</v>
      </c>
      <c r="F20" s="144"/>
      <c r="G20" s="196"/>
      <c r="H20" s="144"/>
      <c r="I20" s="256">
        <f>AVERAGE(I11:I16)</f>
        <v>3.206666666666666E-2</v>
      </c>
      <c r="P20" t="s">
        <v>6</v>
      </c>
    </row>
    <row r="21" spans="3:16">
      <c r="I21" s="144"/>
    </row>
    <row r="22" spans="3:16" ht="23.25">
      <c r="H22" s="421" t="s">
        <v>78</v>
      </c>
      <c r="I22" s="422">
        <v>3.2899999999999999E-2</v>
      </c>
    </row>
  </sheetData>
  <pageMargins left="0.25" right="0.25" top="0.75" bottom="0.75" header="0.3" footer="0.3"/>
  <pageSetup scale="60" orientation="landscape" r:id="rId1"/>
  <legacy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N36"/>
  <sheetViews>
    <sheetView zoomScaleNormal="100" workbookViewId="0">
      <selection activeCell="D9" sqref="D9"/>
    </sheetView>
  </sheetViews>
  <sheetFormatPr defaultRowHeight="15"/>
  <cols>
    <col min="1" max="1" width="44.7109375" customWidth="1"/>
    <col min="2" max="2" width="12" bestFit="1" customWidth="1"/>
    <col min="3" max="3" width="18" bestFit="1" customWidth="1"/>
    <col min="4" max="4" width="21.42578125" customWidth="1"/>
    <col min="5" max="5" width="14.7109375" bestFit="1" customWidth="1"/>
    <col min="6" max="6" width="21.42578125" customWidth="1"/>
  </cols>
  <sheetData>
    <row r="1" spans="1:6" ht="21">
      <c r="A1" s="23" t="s">
        <v>0</v>
      </c>
    </row>
    <row r="2" spans="1:6" ht="15.75">
      <c r="A2" s="24" t="s">
        <v>1</v>
      </c>
    </row>
    <row r="3" spans="1:6">
      <c r="A3" s="22" t="s">
        <v>2</v>
      </c>
    </row>
    <row r="4" spans="1:6">
      <c r="D4" s="4"/>
    </row>
    <row r="5" spans="1:6" ht="15.75">
      <c r="A5" s="76" t="s">
        <v>468</v>
      </c>
    </row>
    <row r="6" spans="1:6" ht="15.75">
      <c r="A6" s="76"/>
    </row>
    <row r="7" spans="1:6" ht="18.75">
      <c r="A7" s="76"/>
      <c r="D7" s="95" t="s">
        <v>79</v>
      </c>
    </row>
    <row r="8" spans="1:6" ht="18.75">
      <c r="A8" s="76"/>
      <c r="D8" s="95" t="s">
        <v>80</v>
      </c>
    </row>
    <row r="9" spans="1:6" ht="15.75">
      <c r="A9" s="76"/>
      <c r="D9" s="280"/>
    </row>
    <row r="10" spans="1:6" ht="15.75" thickBot="1">
      <c r="A10" s="77" t="s">
        <v>6</v>
      </c>
      <c r="B10" s="77" t="s">
        <v>6</v>
      </c>
      <c r="C10" s="77" t="s">
        <v>6</v>
      </c>
      <c r="D10" s="77" t="s">
        <v>6</v>
      </c>
      <c r="E10" s="77" t="s">
        <v>6</v>
      </c>
      <c r="F10" s="77" t="s">
        <v>6</v>
      </c>
    </row>
    <row r="11" spans="1:6">
      <c r="A11" s="8" t="s">
        <v>6</v>
      </c>
      <c r="B11" s="8" t="s">
        <v>27</v>
      </c>
      <c r="C11" s="8" t="s">
        <v>6</v>
      </c>
      <c r="D11" s="8" t="s">
        <v>81</v>
      </c>
      <c r="E11" s="8" t="s">
        <v>81</v>
      </c>
      <c r="F11" s="8" t="s">
        <v>82</v>
      </c>
    </row>
    <row r="12" spans="1:6" ht="15.75" thickBot="1">
      <c r="A12" s="7" t="s">
        <v>34</v>
      </c>
      <c r="B12" s="7" t="s">
        <v>35</v>
      </c>
      <c r="C12" s="7" t="s">
        <v>83</v>
      </c>
      <c r="D12" s="7" t="s">
        <v>84</v>
      </c>
      <c r="E12" s="7" t="s">
        <v>85</v>
      </c>
      <c r="F12" s="7" t="s">
        <v>86</v>
      </c>
    </row>
    <row r="13" spans="1:6">
      <c r="A13" s="8"/>
      <c r="B13" s="8"/>
      <c r="C13" s="8" t="s">
        <v>41</v>
      </c>
      <c r="D13" s="423" t="s">
        <v>87</v>
      </c>
      <c r="E13" s="8" t="s">
        <v>6</v>
      </c>
      <c r="F13" s="8"/>
    </row>
    <row r="14" spans="1:6">
      <c r="A14" s="9" t="s">
        <v>6</v>
      </c>
      <c r="B14" s="9" t="s">
        <v>6</v>
      </c>
      <c r="C14" s="9" t="s">
        <v>6</v>
      </c>
      <c r="D14" s="9" t="s">
        <v>6</v>
      </c>
      <c r="E14" s="9" t="s">
        <v>6</v>
      </c>
      <c r="F14" s="9" t="s">
        <v>6</v>
      </c>
    </row>
    <row r="15" spans="1:6">
      <c r="A15" s="8"/>
      <c r="B15" s="8"/>
      <c r="C15" s="8"/>
      <c r="D15" s="8"/>
      <c r="E15" s="8"/>
      <c r="F15" s="8"/>
    </row>
    <row r="16" spans="1:6">
      <c r="A16" s="22" t="s">
        <v>452</v>
      </c>
      <c r="B16" s="120" t="s">
        <v>453</v>
      </c>
      <c r="C16" s="80">
        <v>109.85</v>
      </c>
      <c r="D16" s="140">
        <v>5.75</v>
      </c>
      <c r="E16" s="140">
        <f t="shared" ref="E16:E21" si="0">C16/D16</f>
        <v>19.104347826086954</v>
      </c>
      <c r="F16" s="13">
        <f t="shared" ref="F16:F21" si="1">1/E16</f>
        <v>5.2344105598543474E-2</v>
      </c>
    </row>
    <row r="17" spans="1:14">
      <c r="A17" s="22" t="s">
        <v>455</v>
      </c>
      <c r="B17" s="3" t="s">
        <v>456</v>
      </c>
      <c r="C17" s="78">
        <v>69.34</v>
      </c>
      <c r="D17" s="78">
        <v>18.600000000000001</v>
      </c>
      <c r="E17" s="140">
        <f t="shared" si="0"/>
        <v>3.7279569892473119</v>
      </c>
      <c r="F17" s="13">
        <f t="shared" si="1"/>
        <v>0.26824343813094892</v>
      </c>
      <c r="N17" t="s">
        <v>6</v>
      </c>
    </row>
    <row r="18" spans="1:14">
      <c r="A18" s="22" t="s">
        <v>457</v>
      </c>
      <c r="B18" s="3" t="s">
        <v>458</v>
      </c>
      <c r="C18" s="78">
        <v>90.75</v>
      </c>
      <c r="D18" s="78">
        <v>5.45</v>
      </c>
      <c r="E18" s="140">
        <f t="shared" si="0"/>
        <v>16.651376146788991</v>
      </c>
      <c r="F18" s="13">
        <f t="shared" si="1"/>
        <v>6.005509641873278E-2</v>
      </c>
      <c r="N18" t="s">
        <v>6</v>
      </c>
    </row>
    <row r="19" spans="1:14">
      <c r="A19" s="22" t="s">
        <v>459</v>
      </c>
      <c r="B19" s="3" t="s">
        <v>460</v>
      </c>
      <c r="C19" s="197">
        <v>204.13</v>
      </c>
      <c r="D19" s="78">
        <v>11.15</v>
      </c>
      <c r="E19" s="140">
        <f t="shared" si="0"/>
        <v>18.307623318385648</v>
      </c>
      <c r="F19" s="13">
        <f t="shared" si="1"/>
        <v>5.4622054573066188E-2</v>
      </c>
      <c r="N19" t="s">
        <v>6</v>
      </c>
    </row>
    <row r="20" spans="1:14">
      <c r="A20" s="22" t="s">
        <v>461</v>
      </c>
      <c r="B20" s="3" t="s">
        <v>462</v>
      </c>
      <c r="C20" s="197">
        <v>237.61</v>
      </c>
      <c r="D20" s="78">
        <v>14</v>
      </c>
      <c r="E20" s="140">
        <f t="shared" si="0"/>
        <v>16.97214285714286</v>
      </c>
      <c r="F20" s="186">
        <f t="shared" si="1"/>
        <v>5.8920079121249094E-2</v>
      </c>
      <c r="N20" t="s">
        <v>6</v>
      </c>
    </row>
    <row r="21" spans="1:14">
      <c r="A21" s="22" t="s">
        <v>469</v>
      </c>
      <c r="B21" s="3" t="s">
        <v>464</v>
      </c>
      <c r="C21" s="197">
        <v>208.22</v>
      </c>
      <c r="D21" s="78">
        <v>11.5</v>
      </c>
      <c r="E21" s="140">
        <f t="shared" si="0"/>
        <v>18.106086956521739</v>
      </c>
      <c r="F21" s="13">
        <f t="shared" si="1"/>
        <v>5.5230045144558641E-2</v>
      </c>
      <c r="N21" t="s">
        <v>6</v>
      </c>
    </row>
    <row r="22" spans="1:14" ht="15.75" thickBot="1">
      <c r="B22" s="82"/>
      <c r="C22" s="82"/>
      <c r="D22" s="82"/>
      <c r="E22" s="82"/>
      <c r="F22" s="82"/>
    </row>
    <row r="23" spans="1:14" ht="15.75" thickTop="1">
      <c r="B23" s="87" t="s">
        <v>55</v>
      </c>
      <c r="C23" s="86" t="s">
        <v>474</v>
      </c>
      <c r="D23" s="86" t="s">
        <v>475</v>
      </c>
      <c r="E23" s="86" t="s">
        <v>476</v>
      </c>
      <c r="F23" s="86" t="s">
        <v>477</v>
      </c>
    </row>
    <row r="24" spans="1:14">
      <c r="B24" s="87" t="s">
        <v>57</v>
      </c>
      <c r="C24" s="196">
        <f>MEDIAN(C16:C21)</f>
        <v>156.99</v>
      </c>
      <c r="D24" s="188">
        <f>MEDIAN(D16:D21)</f>
        <v>11.324999999999999</v>
      </c>
      <c r="E24" s="399">
        <f>MEDIAN(E16:E21)</f>
        <v>17.5391149068323</v>
      </c>
      <c r="F24" s="186">
        <f>MEDIAN(F16:F21)</f>
        <v>5.7075062132903864E-2</v>
      </c>
    </row>
    <row r="25" spans="1:14">
      <c r="B25" s="87" t="s">
        <v>25</v>
      </c>
      <c r="C25" s="424">
        <f>AVERAGE(C16:C21)</f>
        <v>153.31666666666669</v>
      </c>
      <c r="D25" s="424">
        <f>AVERAGE(D16:D21)</f>
        <v>11.075000000000001</v>
      </c>
      <c r="E25" s="424">
        <f>AVERAGE(E16:E21)</f>
        <v>15.478255682362251</v>
      </c>
      <c r="F25" s="401">
        <f>AVERAGE(F16:F21)</f>
        <v>9.1569136497849854E-2</v>
      </c>
    </row>
    <row r="26" spans="1:14">
      <c r="C26" s="22"/>
      <c r="D26" s="22"/>
      <c r="E26" s="22"/>
      <c r="F26" s="22"/>
    </row>
    <row r="27" spans="1:14" ht="21">
      <c r="C27" s="22"/>
      <c r="D27" s="22"/>
      <c r="E27" s="61" t="s">
        <v>20</v>
      </c>
      <c r="F27" s="150">
        <v>5.7099999999999998E-2</v>
      </c>
    </row>
    <row r="30" spans="1:14">
      <c r="A30" s="258" t="s">
        <v>226</v>
      </c>
    </row>
    <row r="31" spans="1:14">
      <c r="A31" s="258"/>
    </row>
    <row r="32" spans="1:14">
      <c r="A32" s="258" t="s">
        <v>478</v>
      </c>
    </row>
    <row r="33" spans="1:1">
      <c r="A33" s="258" t="s">
        <v>479</v>
      </c>
    </row>
    <row r="34" spans="1:1">
      <c r="A34" s="375" t="s">
        <v>480</v>
      </c>
    </row>
    <row r="35" spans="1:1">
      <c r="A35" s="258" t="s">
        <v>481</v>
      </c>
    </row>
    <row r="36" spans="1:1">
      <c r="A36" s="258" t="s">
        <v>482</v>
      </c>
    </row>
  </sheetData>
  <pageMargins left="0.25" right="0.25" top="0.75" bottom="0.75" header="0.3" footer="0.3"/>
  <pageSetup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57"/>
  <sheetViews>
    <sheetView topLeftCell="A4" zoomScale="70" zoomScaleNormal="70" zoomScalePageLayoutView="70" workbookViewId="0">
      <selection activeCell="F15" sqref="F15"/>
    </sheetView>
  </sheetViews>
  <sheetFormatPr defaultRowHeight="15"/>
  <cols>
    <col min="1" max="1" width="55.7109375" customWidth="1"/>
    <col min="2" max="2" width="22.85546875" customWidth="1"/>
    <col min="3" max="3" width="25.85546875" customWidth="1"/>
    <col min="4" max="4" width="27.42578125" customWidth="1"/>
    <col min="5" max="5" width="22.7109375" customWidth="1"/>
    <col min="6" max="6" width="25.28515625" customWidth="1"/>
    <col min="7" max="7" width="26.140625" customWidth="1"/>
    <col min="8" max="8" width="27.28515625" customWidth="1"/>
    <col min="9" max="9" width="29" customWidth="1"/>
    <col min="10" max="10" width="27.42578125" customWidth="1"/>
    <col min="11" max="11" width="29.42578125" customWidth="1"/>
    <col min="12" max="12" width="30.140625" bestFit="1" customWidth="1"/>
    <col min="13" max="13" width="10.5703125" customWidth="1"/>
    <col min="14" max="14" width="17.140625" customWidth="1"/>
  </cols>
  <sheetData>
    <row r="1" spans="1:11" ht="21">
      <c r="A1" s="23" t="s">
        <v>0</v>
      </c>
    </row>
    <row r="2" spans="1:11" ht="15.75">
      <c r="A2" s="24" t="s">
        <v>1</v>
      </c>
    </row>
    <row r="3" spans="1:11">
      <c r="A3" s="22" t="s">
        <v>2</v>
      </c>
    </row>
    <row r="4" spans="1:11">
      <c r="D4" s="4"/>
      <c r="E4" s="4"/>
      <c r="J4" t="s">
        <v>6</v>
      </c>
    </row>
    <row r="6" spans="1:11">
      <c r="A6" s="25" t="s">
        <v>21</v>
      </c>
      <c r="B6" s="26"/>
      <c r="C6" s="26"/>
      <c r="D6" s="26"/>
      <c r="F6" s="27"/>
      <c r="G6" s="28"/>
      <c r="H6" s="28"/>
      <c r="I6" s="29"/>
      <c r="J6" s="29"/>
      <c r="K6" s="29"/>
    </row>
    <row r="7" spans="1:11">
      <c r="A7" s="28"/>
      <c r="B7" s="28"/>
      <c r="C7" s="28"/>
      <c r="D7" s="28"/>
      <c r="E7" s="28"/>
      <c r="F7" s="28" t="s">
        <v>6</v>
      </c>
      <c r="G7" s="28"/>
      <c r="H7" s="28"/>
      <c r="I7" s="28"/>
      <c r="J7" s="28"/>
      <c r="K7" s="28"/>
    </row>
    <row r="8" spans="1:11" ht="15.75" thickBot="1">
      <c r="A8" s="28"/>
      <c r="B8" s="28"/>
      <c r="C8" s="28"/>
      <c r="D8" s="28"/>
      <c r="E8" s="28"/>
      <c r="F8" s="30" t="s">
        <v>6</v>
      </c>
      <c r="G8" s="28"/>
      <c r="H8" s="28"/>
      <c r="I8" s="28"/>
      <c r="J8" s="28"/>
      <c r="K8" s="28"/>
    </row>
    <row r="9" spans="1:11" ht="20.25">
      <c r="A9" s="31" t="s">
        <v>22</v>
      </c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ht="15.75" thickBot="1">
      <c r="A10" s="32" t="s">
        <v>6</v>
      </c>
      <c r="B10" s="33" t="s">
        <v>6</v>
      </c>
      <c r="C10" s="33" t="s">
        <v>6</v>
      </c>
      <c r="D10" s="33"/>
      <c r="E10" s="33"/>
      <c r="F10" s="33" t="s">
        <v>6</v>
      </c>
      <c r="G10" s="33" t="s">
        <v>6</v>
      </c>
      <c r="H10" s="34"/>
      <c r="I10" s="34"/>
      <c r="J10" s="34"/>
    </row>
    <row r="11" spans="1:11" ht="15.75">
      <c r="A11" s="35"/>
      <c r="B11" s="35"/>
      <c r="F11" s="35" t="s">
        <v>6</v>
      </c>
      <c r="G11" s="35"/>
      <c r="H11" s="36" t="s">
        <v>23</v>
      </c>
      <c r="I11" s="36" t="s">
        <v>6</v>
      </c>
      <c r="J11" s="36" t="s">
        <v>6</v>
      </c>
    </row>
    <row r="12" spans="1:11" ht="15.75">
      <c r="A12" s="35"/>
      <c r="B12" s="35"/>
      <c r="C12" s="35"/>
      <c r="D12" s="438" t="s">
        <v>24</v>
      </c>
      <c r="E12" s="439"/>
      <c r="F12" s="35" t="s">
        <v>25</v>
      </c>
      <c r="G12" s="35"/>
      <c r="H12" s="35" t="s">
        <v>26</v>
      </c>
      <c r="I12" s="35" t="s">
        <v>23</v>
      </c>
      <c r="J12" s="36" t="s">
        <v>23</v>
      </c>
    </row>
    <row r="13" spans="1:11" ht="15.75">
      <c r="A13" s="35" t="s">
        <v>6</v>
      </c>
      <c r="B13" s="35" t="s">
        <v>27</v>
      </c>
      <c r="C13" s="35" t="s">
        <v>28</v>
      </c>
      <c r="D13" s="438" t="s">
        <v>29</v>
      </c>
      <c r="E13" s="439"/>
      <c r="F13" s="36" t="s">
        <v>30</v>
      </c>
      <c r="G13" s="36" t="s">
        <v>23</v>
      </c>
      <c r="H13" s="35" t="s">
        <v>31</v>
      </c>
      <c r="I13" s="35" t="s">
        <v>32</v>
      </c>
      <c r="J13" s="37" t="s">
        <v>33</v>
      </c>
    </row>
    <row r="14" spans="1:11" ht="16.5" thickBot="1">
      <c r="A14" s="38" t="s">
        <v>34</v>
      </c>
      <c r="B14" s="38" t="s">
        <v>35</v>
      </c>
      <c r="C14" s="38" t="s">
        <v>36</v>
      </c>
      <c r="D14" s="39" t="s">
        <v>37</v>
      </c>
      <c r="E14" s="40" t="s">
        <v>38</v>
      </c>
      <c r="F14" s="38" t="s">
        <v>29</v>
      </c>
      <c r="G14" s="38" t="s">
        <v>29</v>
      </c>
      <c r="H14" s="41" t="s">
        <v>39</v>
      </c>
      <c r="I14" s="38" t="s">
        <v>40</v>
      </c>
      <c r="J14" s="38" t="s">
        <v>40</v>
      </c>
    </row>
    <row r="15" spans="1:11" ht="15.75">
      <c r="A15" s="42" t="s">
        <v>41</v>
      </c>
      <c r="B15" s="42" t="s">
        <v>41</v>
      </c>
      <c r="C15" s="42" t="s">
        <v>41</v>
      </c>
      <c r="D15" s="43" t="s">
        <v>42</v>
      </c>
      <c r="E15" s="43" t="s">
        <v>42</v>
      </c>
      <c r="F15" s="43"/>
      <c r="G15" s="42" t="s">
        <v>41</v>
      </c>
      <c r="H15" s="42" t="s">
        <v>42</v>
      </c>
      <c r="I15" s="42" t="s">
        <v>42</v>
      </c>
      <c r="J15" s="42" t="s">
        <v>42</v>
      </c>
    </row>
    <row r="16" spans="1:11" ht="15.75">
      <c r="A16" s="35"/>
      <c r="B16" s="35"/>
      <c r="C16" s="35"/>
      <c r="D16" s="35"/>
      <c r="E16" s="35"/>
      <c r="F16" s="35"/>
      <c r="G16" s="35"/>
      <c r="H16" s="35"/>
      <c r="I16" s="44"/>
      <c r="J16" s="44"/>
    </row>
    <row r="17" spans="1:11" ht="15.75">
      <c r="A17" s="24" t="s">
        <v>43</v>
      </c>
      <c r="B17" s="2" t="s">
        <v>44</v>
      </c>
      <c r="C17" s="2" t="s">
        <v>45</v>
      </c>
      <c r="D17" s="45">
        <v>260.45999999999998</v>
      </c>
      <c r="E17" s="45">
        <v>257.51</v>
      </c>
      <c r="F17" s="46">
        <f t="shared" ref="F17" si="0">AVERAGE(D17:E17)</f>
        <v>258.98500000000001</v>
      </c>
      <c r="G17" s="46">
        <v>259.62</v>
      </c>
      <c r="H17" s="47">
        <v>318000000</v>
      </c>
      <c r="I17" s="47">
        <v>0</v>
      </c>
      <c r="J17" s="47">
        <f>23221000000+97000000</f>
        <v>23318000000</v>
      </c>
    </row>
    <row r="18" spans="1:11" ht="16.5" thickBot="1">
      <c r="A18" s="48"/>
      <c r="B18" s="48"/>
      <c r="C18" s="48"/>
      <c r="D18" s="48"/>
      <c r="E18" s="48"/>
      <c r="F18" s="48"/>
      <c r="G18" s="48"/>
      <c r="H18" s="48"/>
      <c r="I18" s="48"/>
      <c r="J18" s="48"/>
    </row>
    <row r="19" spans="1:11" ht="15.75">
      <c r="A19" s="49"/>
      <c r="B19" s="49"/>
      <c r="C19" s="49"/>
      <c r="D19" s="49"/>
      <c r="E19" s="49"/>
      <c r="F19" s="49"/>
      <c r="G19" s="49"/>
      <c r="H19" s="49"/>
      <c r="I19" s="49"/>
      <c r="J19" s="49"/>
    </row>
    <row r="20" spans="1:11" ht="15.75">
      <c r="A20" s="49"/>
      <c r="B20" s="49"/>
      <c r="C20" s="49"/>
      <c r="D20" s="49" t="s">
        <v>6</v>
      </c>
      <c r="E20" s="49"/>
      <c r="F20" s="49"/>
      <c r="G20" s="49"/>
      <c r="J20" s="50" t="s">
        <v>6</v>
      </c>
      <c r="K20" s="49"/>
    </row>
    <row r="21" spans="1:11" ht="15.75">
      <c r="A21" s="49"/>
      <c r="B21" s="49"/>
      <c r="C21" s="49"/>
      <c r="D21" s="49"/>
      <c r="E21" s="49"/>
      <c r="F21" s="49"/>
      <c r="G21" s="49"/>
      <c r="J21" s="49" t="s">
        <v>6</v>
      </c>
      <c r="K21" s="49" t="s">
        <v>6</v>
      </c>
    </row>
    <row r="22" spans="1:11" ht="15.7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</row>
    <row r="23" spans="1:11" ht="15.75">
      <c r="A23" s="49"/>
      <c r="B23" s="49"/>
      <c r="C23" s="49"/>
      <c r="D23" s="49"/>
      <c r="E23" s="49"/>
      <c r="F23" s="49"/>
      <c r="G23" s="49"/>
      <c r="H23" s="49" t="s">
        <v>6</v>
      </c>
      <c r="I23" s="49"/>
      <c r="J23" s="49"/>
      <c r="K23" s="49" t="s">
        <v>6</v>
      </c>
    </row>
    <row r="24" spans="1:11" ht="15.75">
      <c r="A24" s="49"/>
      <c r="B24" s="49"/>
      <c r="C24" s="49"/>
      <c r="D24" s="49"/>
      <c r="E24" s="36" t="s">
        <v>6</v>
      </c>
      <c r="F24" s="49"/>
      <c r="G24" s="49"/>
      <c r="H24" s="49"/>
      <c r="I24" s="49"/>
      <c r="J24" s="49"/>
      <c r="K24" s="49"/>
    </row>
    <row r="25" spans="1:11" ht="15.75">
      <c r="A25" s="35"/>
      <c r="B25" s="35"/>
      <c r="C25" s="35"/>
      <c r="D25" s="36" t="s">
        <v>23</v>
      </c>
      <c r="E25" s="35" t="s">
        <v>23</v>
      </c>
      <c r="F25" s="36" t="s">
        <v>23</v>
      </c>
      <c r="G25" s="36" t="s">
        <v>23</v>
      </c>
      <c r="H25" s="36" t="s">
        <v>23</v>
      </c>
      <c r="I25" s="36" t="s">
        <v>23</v>
      </c>
      <c r="J25" s="36" t="s">
        <v>23</v>
      </c>
      <c r="K25" s="49"/>
    </row>
    <row r="26" spans="1:11" ht="15.75">
      <c r="A26" s="35" t="s">
        <v>6</v>
      </c>
      <c r="B26" s="35" t="s">
        <v>27</v>
      </c>
      <c r="C26" s="35" t="s">
        <v>28</v>
      </c>
      <c r="D26" s="35" t="s">
        <v>26</v>
      </c>
      <c r="E26" s="35" t="s">
        <v>32</v>
      </c>
      <c r="F26" s="35" t="s">
        <v>46</v>
      </c>
      <c r="G26" s="37" t="s">
        <v>47</v>
      </c>
      <c r="H26" s="37" t="s">
        <v>48</v>
      </c>
      <c r="I26" s="37" t="s">
        <v>49</v>
      </c>
      <c r="J26" s="37" t="s">
        <v>50</v>
      </c>
      <c r="K26" s="49"/>
    </row>
    <row r="27" spans="1:11" ht="16.5" thickBot="1">
      <c r="A27" s="38" t="s">
        <v>34</v>
      </c>
      <c r="B27" s="38" t="s">
        <v>35</v>
      </c>
      <c r="C27" s="38" t="s">
        <v>36</v>
      </c>
      <c r="D27" s="38" t="s">
        <v>51</v>
      </c>
      <c r="E27" s="38" t="s">
        <v>51</v>
      </c>
      <c r="F27" s="38" t="s">
        <v>51</v>
      </c>
      <c r="G27" s="38" t="s">
        <v>51</v>
      </c>
      <c r="H27" s="38" t="s">
        <v>52</v>
      </c>
      <c r="I27" s="38" t="s">
        <v>6</v>
      </c>
      <c r="J27" s="38" t="s">
        <v>6</v>
      </c>
      <c r="K27" s="49"/>
    </row>
    <row r="28" spans="1:11" ht="15.75">
      <c r="A28" s="42" t="s">
        <v>41</v>
      </c>
      <c r="B28" s="42" t="s">
        <v>41</v>
      </c>
      <c r="C28" s="42" t="s">
        <v>41</v>
      </c>
      <c r="D28" s="42" t="s">
        <v>53</v>
      </c>
      <c r="E28" s="42" t="s">
        <v>42</v>
      </c>
      <c r="F28" s="42" t="s">
        <v>42</v>
      </c>
      <c r="G28" s="42" t="s">
        <v>42</v>
      </c>
      <c r="H28" s="42" t="s">
        <v>53</v>
      </c>
      <c r="I28" s="42" t="s">
        <v>53</v>
      </c>
      <c r="J28" s="42" t="s">
        <v>53</v>
      </c>
      <c r="K28" s="49"/>
    </row>
    <row r="29" spans="1:11" ht="15.75">
      <c r="A29" s="35"/>
      <c r="B29" s="35"/>
      <c r="C29" s="35"/>
      <c r="D29" s="49"/>
      <c r="E29" s="49"/>
      <c r="F29" t="s">
        <v>6</v>
      </c>
      <c r="G29" t="s">
        <v>6</v>
      </c>
      <c r="H29" s="44"/>
      <c r="I29" s="44"/>
      <c r="J29" s="44"/>
      <c r="K29" s="49"/>
    </row>
    <row r="30" spans="1:11" ht="15.75">
      <c r="A30" s="24" t="str">
        <f>+A17</f>
        <v>FedEx Corp ***</v>
      </c>
      <c r="B30" s="2" t="str">
        <f>+B17</f>
        <v>FDX</v>
      </c>
      <c r="C30" s="2" t="str">
        <f>+C17</f>
        <v>Air Trans</v>
      </c>
      <c r="D30" s="51">
        <f>((+H17)*G17)-8703000000</f>
        <v>73856160000</v>
      </c>
      <c r="E30" s="52">
        <f>+K17</f>
        <v>0</v>
      </c>
      <c r="F30" s="52">
        <f>+E47</f>
        <v>15132000000</v>
      </c>
      <c r="G30" s="47">
        <f>+J17*(27200/22800)</f>
        <v>27817964912.280701</v>
      </c>
      <c r="H30" s="53">
        <f t="shared" ref="H30" si="1">+D30+E30+F30+G30</f>
        <v>116806124912.2807</v>
      </c>
      <c r="I30" s="12">
        <f>+D30/H30</f>
        <v>0.63229697976424304</v>
      </c>
      <c r="J30" s="54">
        <f t="shared" ref="J30" si="2">(+E30+F30+G30)/H30</f>
        <v>0.36770302023575691</v>
      </c>
      <c r="K30" s="55" t="s">
        <v>6</v>
      </c>
    </row>
    <row r="31" spans="1:11" ht="15.75">
      <c r="A31" s="24"/>
      <c r="B31" s="2"/>
      <c r="C31" s="2"/>
      <c r="D31" s="51"/>
      <c r="E31" s="51"/>
      <c r="F31" t="s">
        <v>6</v>
      </c>
      <c r="G31" s="56"/>
      <c r="H31" s="56"/>
      <c r="I31" s="57"/>
      <c r="J31" s="57"/>
      <c r="K31" s="49"/>
    </row>
    <row r="32" spans="1:11" ht="16.5" thickBot="1">
      <c r="A32" s="48"/>
      <c r="B32" s="48"/>
      <c r="C32" s="48"/>
      <c r="D32" s="48"/>
      <c r="E32" s="48"/>
      <c r="F32" s="5"/>
      <c r="G32" s="48"/>
      <c r="H32" s="48"/>
      <c r="I32" s="48"/>
      <c r="J32" s="48"/>
      <c r="K32" s="49"/>
    </row>
    <row r="35" spans="1:14" ht="15.75">
      <c r="A35" s="22" t="s">
        <v>54</v>
      </c>
      <c r="H35" s="58"/>
      <c r="I35" s="59"/>
      <c r="J35" s="59"/>
    </row>
    <row r="36" spans="1:14" ht="15.75">
      <c r="A36" s="22" t="s">
        <v>56</v>
      </c>
      <c r="H36" s="58" t="s">
        <v>57</v>
      </c>
      <c r="I36" s="12">
        <f>MEDIAN(I30:I30)</f>
        <v>0.63229697976424304</v>
      </c>
      <c r="J36" s="12">
        <f>MEDIAN(J30:J30)</f>
        <v>0.36770302023575691</v>
      </c>
    </row>
    <row r="37" spans="1:14" ht="15.75">
      <c r="A37" s="60" t="s">
        <v>569</v>
      </c>
      <c r="G37" s="22" t="s">
        <v>6</v>
      </c>
      <c r="H37" s="58" t="s">
        <v>25</v>
      </c>
      <c r="I37" s="12">
        <f>AVERAGE(I30:I30)</f>
        <v>0.63229697976424304</v>
      </c>
      <c r="J37" s="12">
        <f>AVERAGE(J30:J30)</f>
        <v>0.36770302023575691</v>
      </c>
    </row>
    <row r="38" spans="1:14" ht="15.75">
      <c r="A38" s="22" t="s">
        <v>58</v>
      </c>
      <c r="H38" s="24"/>
      <c r="I38" s="24"/>
      <c r="J38" s="24"/>
    </row>
    <row r="39" spans="1:14" ht="21">
      <c r="A39" s="22" t="s">
        <v>59</v>
      </c>
      <c r="H39" s="61" t="s">
        <v>20</v>
      </c>
      <c r="I39" s="62">
        <v>0.63</v>
      </c>
      <c r="J39" s="62">
        <v>0.37</v>
      </c>
      <c r="K39" s="63" t="s">
        <v>6</v>
      </c>
    </row>
    <row r="40" spans="1:14" ht="16.5" thickBot="1">
      <c r="A40" s="5"/>
      <c r="B40" s="5"/>
      <c r="C40" s="5"/>
      <c r="D40" s="5"/>
      <c r="E40" s="5"/>
      <c r="F40" s="5"/>
      <c r="G40" s="5"/>
      <c r="H40" s="5" t="s">
        <v>6</v>
      </c>
      <c r="I40" s="64"/>
      <c r="J40" s="64"/>
      <c r="K40" s="5"/>
      <c r="L40" s="5"/>
      <c r="M40" s="5"/>
      <c r="N40" s="5"/>
    </row>
    <row r="41" spans="1:14" ht="15.75">
      <c r="H41" s="65" t="s">
        <v>6</v>
      </c>
      <c r="I41" s="66" t="s">
        <v>6</v>
      </c>
      <c r="J41" s="66" t="s">
        <v>6</v>
      </c>
      <c r="L41" t="s">
        <v>6</v>
      </c>
    </row>
    <row r="46" spans="1:14">
      <c r="B46" s="67" t="s">
        <v>60</v>
      </c>
      <c r="C46" s="68" t="s">
        <v>34</v>
      </c>
      <c r="D46" s="69" t="s">
        <v>61</v>
      </c>
      <c r="E46" s="69" t="s">
        <v>62</v>
      </c>
    </row>
    <row r="47" spans="1:14" ht="15.75">
      <c r="B47" s="70">
        <v>2875000000</v>
      </c>
      <c r="C47" s="71" t="str">
        <f>+A30</f>
        <v>FedEx Corp ***</v>
      </c>
      <c r="D47" s="72">
        <v>14845000000</v>
      </c>
      <c r="E47" s="72">
        <v>15132000000</v>
      </c>
    </row>
    <row r="49" spans="3:4">
      <c r="D49" t="s">
        <v>6</v>
      </c>
    </row>
    <row r="55" spans="3:4">
      <c r="C55" s="73" t="s">
        <v>6</v>
      </c>
    </row>
    <row r="56" spans="3:4" ht="15.75">
      <c r="C56" s="74" t="s">
        <v>6</v>
      </c>
    </row>
    <row r="57" spans="3:4">
      <c r="D57" s="75" t="s">
        <v>6</v>
      </c>
    </row>
  </sheetData>
  <mergeCells count="2">
    <mergeCell ref="D12:E12"/>
    <mergeCell ref="D13:E13"/>
  </mergeCells>
  <pageMargins left="0.25" right="0.25" top="0.75" bottom="0.75" header="0.3" footer="0.3"/>
  <pageSetup scale="33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17"/>
  <sheetViews>
    <sheetView zoomScaleNormal="100" workbookViewId="0">
      <selection activeCell="B21" sqref="B21"/>
    </sheetView>
  </sheetViews>
  <sheetFormatPr defaultRowHeight="15"/>
  <cols>
    <col min="1" max="1" width="45.140625" customWidth="1"/>
    <col min="2" max="2" width="10.85546875" bestFit="1" customWidth="1"/>
    <col min="3" max="3" width="12.5703125" bestFit="1" customWidth="1"/>
    <col min="4" max="4" width="12.5703125" customWidth="1"/>
    <col min="5" max="5" width="12.28515625" customWidth="1"/>
    <col min="6" max="6" width="10.85546875" customWidth="1"/>
    <col min="7" max="7" width="12.85546875" customWidth="1"/>
    <col min="8" max="8" width="23.140625" bestFit="1" customWidth="1"/>
    <col min="9" max="9" width="15.140625" customWidth="1"/>
    <col min="10" max="10" width="15.5703125" customWidth="1"/>
    <col min="11" max="11" width="13.140625" customWidth="1"/>
  </cols>
  <sheetData>
    <row r="1" spans="1:10" ht="21">
      <c r="A1" s="23" t="s">
        <v>0</v>
      </c>
    </row>
    <row r="2" spans="1:10" ht="15.75">
      <c r="A2" s="24" t="s">
        <v>1</v>
      </c>
    </row>
    <row r="3" spans="1:10">
      <c r="A3" s="22" t="s">
        <v>2</v>
      </c>
    </row>
    <row r="4" spans="1:10">
      <c r="F4" s="4" t="s">
        <v>6</v>
      </c>
    </row>
    <row r="5" spans="1:10" ht="15.75">
      <c r="A5" s="76" t="s">
        <v>22</v>
      </c>
    </row>
    <row r="6" spans="1:10" ht="15.75" thickBot="1">
      <c r="A6" s="77" t="s">
        <v>6</v>
      </c>
      <c r="B6" s="77" t="s">
        <v>6</v>
      </c>
      <c r="C6" s="77" t="s">
        <v>6</v>
      </c>
      <c r="D6" s="77"/>
      <c r="E6" s="77"/>
      <c r="F6" s="77" t="s">
        <v>6</v>
      </c>
      <c r="G6" s="77" t="s">
        <v>6</v>
      </c>
      <c r="H6" s="77" t="s">
        <v>6</v>
      </c>
      <c r="I6" s="5"/>
    </row>
    <row r="7" spans="1:10">
      <c r="A7" s="8" t="s">
        <v>6</v>
      </c>
      <c r="B7" s="8" t="s">
        <v>27</v>
      </c>
      <c r="C7" s="8" t="s">
        <v>28</v>
      </c>
      <c r="D7" s="8" t="s">
        <v>63</v>
      </c>
      <c r="E7" s="8" t="s">
        <v>64</v>
      </c>
      <c r="F7" s="8" t="s">
        <v>65</v>
      </c>
      <c r="G7" s="8" t="s">
        <v>66</v>
      </c>
      <c r="H7" s="8" t="s">
        <v>67</v>
      </c>
      <c r="I7" s="8" t="s">
        <v>68</v>
      </c>
    </row>
    <row r="8" spans="1:10" ht="15.75" thickBot="1">
      <c r="A8" s="7" t="s">
        <v>34</v>
      </c>
      <c r="B8" s="7" t="s">
        <v>35</v>
      </c>
      <c r="C8" s="7" t="s">
        <v>36</v>
      </c>
      <c r="D8" s="7"/>
      <c r="E8" s="7" t="s">
        <v>69</v>
      </c>
      <c r="F8" s="7" t="s">
        <v>70</v>
      </c>
      <c r="G8" s="7" t="s">
        <v>71</v>
      </c>
      <c r="H8" s="7" t="s">
        <v>71</v>
      </c>
      <c r="I8" s="7" t="s">
        <v>72</v>
      </c>
    </row>
    <row r="9" spans="1:10">
      <c r="A9" s="9" t="s">
        <v>41</v>
      </c>
      <c r="B9" s="9" t="s">
        <v>41</v>
      </c>
      <c r="C9" s="9" t="s">
        <v>41</v>
      </c>
      <c r="D9" s="9" t="s">
        <v>41</v>
      </c>
      <c r="E9" s="9" t="s">
        <v>41</v>
      </c>
      <c r="F9" s="9" t="s">
        <v>41</v>
      </c>
      <c r="G9" s="9" t="s">
        <v>66</v>
      </c>
      <c r="H9" s="9" t="s">
        <v>68</v>
      </c>
      <c r="I9" s="9" t="s">
        <v>68</v>
      </c>
    </row>
    <row r="10" spans="1:10">
      <c r="A10" s="8"/>
      <c r="B10" s="8"/>
      <c r="C10" s="8"/>
      <c r="D10" s="8"/>
      <c r="E10" s="8"/>
      <c r="F10" s="8"/>
      <c r="G10" s="8"/>
      <c r="H10" s="8"/>
      <c r="I10" s="8"/>
    </row>
    <row r="11" spans="1:10">
      <c r="A11" s="22" t="s">
        <v>73</v>
      </c>
      <c r="B11" s="3" t="s">
        <v>44</v>
      </c>
      <c r="C11" s="3" t="s">
        <v>74</v>
      </c>
      <c r="D11" s="78">
        <v>1.1000000000000001</v>
      </c>
      <c r="E11" s="79">
        <v>0.21299999999999999</v>
      </c>
      <c r="F11" s="80" t="s">
        <v>75</v>
      </c>
      <c r="G11" s="78" t="s">
        <v>76</v>
      </c>
      <c r="H11" s="78" t="s">
        <v>77</v>
      </c>
      <c r="I11" s="81">
        <v>3.2899999999999999E-2</v>
      </c>
      <c r="J11" t="s">
        <v>6</v>
      </c>
    </row>
    <row r="12" spans="1:10" ht="15.75" thickBot="1">
      <c r="C12" s="82"/>
      <c r="D12" s="83"/>
      <c r="E12" s="83"/>
      <c r="F12" s="82"/>
      <c r="G12" s="83"/>
      <c r="H12" s="83"/>
      <c r="I12" s="83"/>
    </row>
    <row r="13" spans="1:10" ht="15.75" thickTop="1">
      <c r="C13" s="84"/>
      <c r="D13" s="85"/>
      <c r="E13" s="85"/>
      <c r="I13" s="86"/>
    </row>
    <row r="14" spans="1:10">
      <c r="C14" s="87" t="s">
        <v>57</v>
      </c>
      <c r="D14" s="88">
        <f>MEDIAN(D11:D11)</f>
        <v>1.1000000000000001</v>
      </c>
      <c r="E14" s="89">
        <f>MEDIAN(E11:E11)</f>
        <v>0.21299999999999999</v>
      </c>
      <c r="I14" s="89">
        <f>MEDIAN(I11:I11)</f>
        <v>3.2899999999999999E-2</v>
      </c>
    </row>
    <row r="15" spans="1:10">
      <c r="C15" s="87" t="s">
        <v>25</v>
      </c>
      <c r="D15" s="90">
        <f>AVERAGE(D11:D11)</f>
        <v>1.1000000000000001</v>
      </c>
      <c r="E15" s="91">
        <f>AVERAGE(E11:E11)</f>
        <v>0.21299999999999999</v>
      </c>
      <c r="I15" s="91">
        <f>AVERAGE(I11:I11)</f>
        <v>3.2899999999999999E-2</v>
      </c>
    </row>
    <row r="16" spans="1:10">
      <c r="J16" s="92"/>
    </row>
    <row r="17" spans="8:10" ht="21">
      <c r="H17" s="61" t="s">
        <v>78</v>
      </c>
      <c r="I17" s="93">
        <v>3.2899999999999999E-2</v>
      </c>
      <c r="J17" s="94" t="s">
        <v>6</v>
      </c>
    </row>
  </sheetData>
  <pageMargins left="0.25" right="0.25" top="0.75" bottom="0.75" header="0.3" footer="0.3"/>
  <pageSetup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23"/>
  <sheetViews>
    <sheetView zoomScale="90" zoomScaleNormal="90" workbookViewId="0"/>
  </sheetViews>
  <sheetFormatPr defaultRowHeight="15"/>
  <cols>
    <col min="1" max="1" width="43.7109375" customWidth="1"/>
    <col min="2" max="2" width="14.42578125" bestFit="1" customWidth="1"/>
    <col min="3" max="3" width="18.85546875" customWidth="1"/>
    <col min="4" max="4" width="20.42578125" customWidth="1"/>
    <col min="5" max="5" width="14.7109375" bestFit="1" customWidth="1"/>
    <col min="6" max="6" width="21.7109375" customWidth="1"/>
    <col min="7" max="7" width="9.140625" customWidth="1"/>
  </cols>
  <sheetData>
    <row r="1" spans="1:6" ht="21">
      <c r="A1" s="23" t="s">
        <v>0</v>
      </c>
    </row>
    <row r="2" spans="1:6" ht="15.75">
      <c r="A2" s="24" t="s">
        <v>1</v>
      </c>
    </row>
    <row r="3" spans="1:6">
      <c r="A3" s="22" t="s">
        <v>2</v>
      </c>
    </row>
    <row r="4" spans="1:6">
      <c r="D4" s="4" t="s">
        <v>6</v>
      </c>
    </row>
    <row r="5" spans="1:6" ht="15.75">
      <c r="A5" s="76" t="s">
        <v>22</v>
      </c>
    </row>
    <row r="6" spans="1:6" ht="15.75">
      <c r="A6" s="76"/>
    </row>
    <row r="7" spans="1:6" ht="18.75">
      <c r="A7" s="76"/>
      <c r="D7" s="95" t="s">
        <v>79</v>
      </c>
    </row>
    <row r="8" spans="1:6" ht="18.75">
      <c r="A8" s="76"/>
      <c r="D8" s="95" t="s">
        <v>80</v>
      </c>
    </row>
    <row r="9" spans="1:6" ht="15.75">
      <c r="A9" s="76"/>
      <c r="D9" s="96" t="s">
        <v>6</v>
      </c>
    </row>
    <row r="10" spans="1:6" ht="15.75" thickBot="1">
      <c r="A10" s="77" t="s">
        <v>6</v>
      </c>
      <c r="B10" s="77" t="s">
        <v>6</v>
      </c>
      <c r="C10" s="77" t="s">
        <v>6</v>
      </c>
      <c r="D10" s="77" t="s">
        <v>6</v>
      </c>
      <c r="E10" s="77" t="s">
        <v>6</v>
      </c>
      <c r="F10" s="77" t="s">
        <v>6</v>
      </c>
    </row>
    <row r="11" spans="1:6">
      <c r="A11" s="8" t="s">
        <v>6</v>
      </c>
      <c r="B11" s="8" t="s">
        <v>27</v>
      </c>
      <c r="C11" s="8" t="s">
        <v>6</v>
      </c>
      <c r="D11" s="8" t="s">
        <v>81</v>
      </c>
      <c r="E11" s="8" t="s">
        <v>81</v>
      </c>
      <c r="F11" s="8" t="s">
        <v>82</v>
      </c>
    </row>
    <row r="12" spans="1:6" ht="15.75" thickBot="1">
      <c r="A12" s="7" t="s">
        <v>34</v>
      </c>
      <c r="B12" s="7" t="s">
        <v>35</v>
      </c>
      <c r="C12" s="7" t="s">
        <v>83</v>
      </c>
      <c r="D12" s="7" t="s">
        <v>84</v>
      </c>
      <c r="E12" s="7" t="s">
        <v>85</v>
      </c>
      <c r="F12" s="7" t="s">
        <v>86</v>
      </c>
    </row>
    <row r="13" spans="1:6">
      <c r="A13" s="9" t="s">
        <v>6</v>
      </c>
      <c r="B13" s="9" t="s">
        <v>6</v>
      </c>
      <c r="C13" s="9" t="s">
        <v>41</v>
      </c>
      <c r="D13" s="97" t="s">
        <v>87</v>
      </c>
      <c r="E13" s="9" t="s">
        <v>6</v>
      </c>
      <c r="F13" s="9" t="s">
        <v>6</v>
      </c>
    </row>
    <row r="14" spans="1:6">
      <c r="A14" s="8"/>
      <c r="B14" s="8"/>
      <c r="C14" s="8"/>
      <c r="D14" s="8"/>
      <c r="E14" s="8"/>
      <c r="F14" s="8"/>
    </row>
    <row r="15" spans="1:6">
      <c r="A15" s="22" t="s">
        <v>6</v>
      </c>
      <c r="B15" s="3" t="s">
        <v>6</v>
      </c>
      <c r="C15" s="98" t="s">
        <v>6</v>
      </c>
      <c r="D15" s="98" t="s">
        <v>6</v>
      </c>
      <c r="E15" s="99" t="s">
        <v>6</v>
      </c>
      <c r="F15" s="100" t="s">
        <v>6</v>
      </c>
    </row>
    <row r="16" spans="1:6">
      <c r="A16" s="22" t="s">
        <v>73</v>
      </c>
      <c r="B16" s="3" t="s">
        <v>44</v>
      </c>
      <c r="C16" s="78">
        <v>259.62</v>
      </c>
      <c r="D16" s="78">
        <v>23.32</v>
      </c>
      <c r="E16" s="78">
        <f t="shared" ref="E16" si="0">C16/D16</f>
        <v>11.132933104631219</v>
      </c>
      <c r="F16" s="79">
        <f t="shared" ref="F16" si="1">1/E16</f>
        <v>8.9823588321392797E-2</v>
      </c>
    </row>
    <row r="17" spans="1:6" ht="15.75" thickBot="1">
      <c r="A17" s="82"/>
      <c r="B17" s="101"/>
      <c r="C17" s="101"/>
      <c r="D17" s="102"/>
      <c r="E17" s="102"/>
      <c r="F17" s="103"/>
    </row>
    <row r="18" spans="1:6" ht="15.75" thickTop="1">
      <c r="B18" s="3"/>
      <c r="C18" s="99"/>
      <c r="D18" s="99"/>
      <c r="E18" s="99"/>
      <c r="F18" s="100"/>
    </row>
    <row r="19" spans="1:6">
      <c r="B19" s="3" t="s">
        <v>57</v>
      </c>
      <c r="C19" s="104">
        <f>MEDIAN(C16:C16)</f>
        <v>259.62</v>
      </c>
      <c r="D19" s="104">
        <f>MEDIAN(D16:D16)</f>
        <v>23.32</v>
      </c>
      <c r="E19" s="104">
        <f>MEDIAN(E16:E16)</f>
        <v>11.132933104631219</v>
      </c>
      <c r="F19" s="89">
        <f>MEDIAN(F16:F16)</f>
        <v>8.9823588321392797E-2</v>
      </c>
    </row>
    <row r="20" spans="1:6">
      <c r="B20" s="3" t="s">
        <v>25</v>
      </c>
      <c r="C20" s="104">
        <f>AVERAGE(C16:C16)</f>
        <v>259.62</v>
      </c>
      <c r="D20" s="104">
        <f>AVERAGE(D16:D16)</f>
        <v>23.32</v>
      </c>
      <c r="E20" s="104">
        <f>AVERAGE(E16:E16)</f>
        <v>11.132933104631219</v>
      </c>
      <c r="F20" s="89">
        <f>AVERAGE(F16:F16)</f>
        <v>8.9823588321392797E-2</v>
      </c>
    </row>
    <row r="21" spans="1:6">
      <c r="B21" s="3"/>
      <c r="C21" s="99"/>
      <c r="D21" s="99"/>
      <c r="E21" s="99"/>
      <c r="F21" s="91"/>
    </row>
    <row r="22" spans="1:6" ht="21">
      <c r="B22" s="3"/>
      <c r="C22" s="99"/>
      <c r="D22" s="99"/>
      <c r="E22" s="105" t="s">
        <v>20</v>
      </c>
      <c r="F22" s="93">
        <v>8.9800000000000005E-2</v>
      </c>
    </row>
    <row r="23" spans="1:6">
      <c r="B23" s="3"/>
      <c r="C23" s="106"/>
      <c r="D23" s="106"/>
      <c r="E23" s="106"/>
      <c r="F23" s="107"/>
    </row>
  </sheetData>
  <pageMargins left="0.25" right="0.25" top="0.75" bottom="0.75" header="0.3" footer="0.3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CFB36B36E7EE46B860E7832FBC9DDB" ma:contentTypeVersion="1" ma:contentTypeDescription="Create a new document." ma:contentTypeScope="" ma:versionID="bff476506a81a32367fb2f95cb3debc2">
  <xsd:schema xmlns:xsd="http://www.w3.org/2001/XMLSchema" xmlns:xs="http://www.w3.org/2001/XMLSchema" xmlns:p="http://schemas.microsoft.com/office/2006/metadata/properties" xmlns:ns2="f94b9277-b0a3-4d91-bade-04ea91219630" targetNamespace="http://schemas.microsoft.com/office/2006/metadata/properties" ma:root="true" ma:fieldsID="93ea9a64a9ab47897a537ad3dd05bc89" ns2:_="">
    <xsd:import namespace="f94b9277-b0a3-4d91-bade-04ea9121963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b9277-b0a3-4d91-bade-04ea9121963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2227D6-9059-4192-A8DB-C5304F9E883D}"/>
</file>

<file path=customXml/itemProps2.xml><?xml version="1.0" encoding="utf-8"?>
<ds:datastoreItem xmlns:ds="http://schemas.openxmlformats.org/officeDocument/2006/customXml" ds:itemID="{A61F2CD7-EC03-487C-8F2B-A5DCD0A24BA8}"/>
</file>

<file path=customXml/itemProps3.xml><?xml version="1.0" encoding="utf-8"?>
<ds:datastoreItem xmlns:ds="http://schemas.openxmlformats.org/officeDocument/2006/customXml" ds:itemID="{E9C52006-C135-4D8D-8CF3-BE136955C0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65</vt:i4>
      </vt:variant>
      <vt:variant>
        <vt:lpstr>Named Ranges</vt:lpstr>
      </vt:variant>
      <vt:variant>
        <vt:i4>28</vt:i4>
      </vt:variant>
    </vt:vector>
  </HeadingPairs>
  <TitlesOfParts>
    <vt:vector size="93" baseType="lpstr">
      <vt:lpstr>Table of Contents</vt:lpstr>
      <vt:lpstr>CapRate_AC F ALL</vt:lpstr>
      <vt:lpstr>S&amp;D_AC F ALL</vt:lpstr>
      <vt:lpstr>Debt_AC F ALL</vt:lpstr>
      <vt:lpstr>CF Multiples_AC F ALL</vt:lpstr>
      <vt:lpstr>CapRate_AC F FEDEX</vt:lpstr>
      <vt:lpstr>S&amp;D_AC F FEDEX</vt:lpstr>
      <vt:lpstr>Debt_AC F FEDEX</vt:lpstr>
      <vt:lpstr>CF Multiples_AC F FEDEX</vt:lpstr>
      <vt:lpstr>CapRate_AC F UPS</vt:lpstr>
      <vt:lpstr>S&amp;D_AC F UPS</vt:lpstr>
      <vt:lpstr>Debt_AC F UPS</vt:lpstr>
      <vt:lpstr>CF Multiples_AC F UPS</vt:lpstr>
      <vt:lpstr>CapRate_AC P ALL</vt:lpstr>
      <vt:lpstr>S&amp;D_AC P ALL</vt:lpstr>
      <vt:lpstr>Debt_AC P ALL</vt:lpstr>
      <vt:lpstr>CF Multiples_AC P ALL</vt:lpstr>
      <vt:lpstr>CapRate_AC P United</vt:lpstr>
      <vt:lpstr>S&amp;D_AC P United</vt:lpstr>
      <vt:lpstr>Debt_AC P United</vt:lpstr>
      <vt:lpstr>CF Multiples_AC P United</vt:lpstr>
      <vt:lpstr>CapRate_AC P Delta</vt:lpstr>
      <vt:lpstr>S&amp;D_AC P Delta</vt:lpstr>
      <vt:lpstr>Debt_AC P Delta</vt:lpstr>
      <vt:lpstr>CF Multiples_AC P Delta</vt:lpstr>
      <vt:lpstr>CapRate_AC P Skywest</vt:lpstr>
      <vt:lpstr>S&amp;D_AC P Skywest</vt:lpstr>
      <vt:lpstr>Debt_AC P Skywest</vt:lpstr>
      <vt:lpstr>CF Multiples_AC P Skywest</vt:lpstr>
      <vt:lpstr>CapRate_AC P American</vt:lpstr>
      <vt:lpstr>S&amp;D_AC P American</vt:lpstr>
      <vt:lpstr>Debt_AC P American</vt:lpstr>
      <vt:lpstr>CF Multiples_AC P American</vt:lpstr>
      <vt:lpstr>CapRate_AC P Southwest</vt:lpstr>
      <vt:lpstr>S&amp;D_AC P Southwest</vt:lpstr>
      <vt:lpstr>Debt_AC P Southwest</vt:lpstr>
      <vt:lpstr>CF Multiples_AC P Southwest</vt:lpstr>
      <vt:lpstr>CapRate_EU</vt:lpstr>
      <vt:lpstr>S&amp;D_EU</vt:lpstr>
      <vt:lpstr>Debt_EU</vt:lpstr>
      <vt:lpstr>CF Multiples_EU</vt:lpstr>
      <vt:lpstr>CapRate_EU Wholesale</vt:lpstr>
      <vt:lpstr>S&amp;D_EU Wholesale</vt:lpstr>
      <vt:lpstr>Debt_EU Wholesale</vt:lpstr>
      <vt:lpstr>CF Multiples_EU Wholesale</vt:lpstr>
      <vt:lpstr>CapRate_Gas Dist</vt:lpstr>
      <vt:lpstr>S&amp;D_Gas Dist</vt:lpstr>
      <vt:lpstr>Debt_Gas Dist</vt:lpstr>
      <vt:lpstr>CF Multiples_Gas Dist</vt:lpstr>
      <vt:lpstr>CapRate_GP</vt:lpstr>
      <vt:lpstr>S&amp;D_GP</vt:lpstr>
      <vt:lpstr>Debt_GP</vt:lpstr>
      <vt:lpstr>CF Multiples_GP</vt:lpstr>
      <vt:lpstr>CapRate_LQ PL</vt:lpstr>
      <vt:lpstr>S&amp;D_LQ PL</vt:lpstr>
      <vt:lpstr>Debt_LQ PL</vt:lpstr>
      <vt:lpstr>CF Multiples_LQ PL</vt:lpstr>
      <vt:lpstr>CapRate_PW</vt:lpstr>
      <vt:lpstr>S&amp;D_PW</vt:lpstr>
      <vt:lpstr>Debt_PW</vt:lpstr>
      <vt:lpstr>CF Multiples_PW</vt:lpstr>
      <vt:lpstr>CapRate_RR</vt:lpstr>
      <vt:lpstr>S&amp;D_RR</vt:lpstr>
      <vt:lpstr>Debt_RR</vt:lpstr>
      <vt:lpstr>CF Multiples_RR</vt:lpstr>
      <vt:lpstr>'CapRate_AC F ALL'!Print_Area</vt:lpstr>
      <vt:lpstr>'CapRate_AC F FEDEX'!Print_Area</vt:lpstr>
      <vt:lpstr>'CapRate_AC F UPS'!Print_Area</vt:lpstr>
      <vt:lpstr>'CapRate_AC P ALL'!Print_Area</vt:lpstr>
      <vt:lpstr>'CapRate_AC P American'!Print_Area</vt:lpstr>
      <vt:lpstr>'CapRate_AC P Delta'!Print_Area</vt:lpstr>
      <vt:lpstr>'CapRate_AC P Skywest'!Print_Area</vt:lpstr>
      <vt:lpstr>'CapRate_AC P Southwest'!Print_Area</vt:lpstr>
      <vt:lpstr>'CapRate_AC P United'!Print_Area</vt:lpstr>
      <vt:lpstr>'CF Multiples_Gas Dist'!Print_Area</vt:lpstr>
      <vt:lpstr>Debt_EU!Print_Area</vt:lpstr>
      <vt:lpstr>'Debt_EU Wholesale'!Print_Area</vt:lpstr>
      <vt:lpstr>'S&amp;D_AC F ALL'!Print_Area</vt:lpstr>
      <vt:lpstr>'S&amp;D_AC F FEDEX'!Print_Area</vt:lpstr>
      <vt:lpstr>'S&amp;D_AC F UPS'!Print_Area</vt:lpstr>
      <vt:lpstr>'S&amp;D_AC P ALL'!Print_Area</vt:lpstr>
      <vt:lpstr>'S&amp;D_AC P American'!Print_Area</vt:lpstr>
      <vt:lpstr>'S&amp;D_AC P Delta'!Print_Area</vt:lpstr>
      <vt:lpstr>'S&amp;D_AC P Skywest'!Print_Area</vt:lpstr>
      <vt:lpstr>'S&amp;D_AC P Southwest'!Print_Area</vt:lpstr>
      <vt:lpstr>'S&amp;D_AC P United'!Print_Area</vt:lpstr>
      <vt:lpstr>'S&amp;D_EU'!Print_Area</vt:lpstr>
      <vt:lpstr>'S&amp;D_EU Wholesale'!Print_Area</vt:lpstr>
      <vt:lpstr>'S&amp;D_Gas Dist'!Print_Area</vt:lpstr>
      <vt:lpstr>'S&amp;D_GP'!Print_Area</vt:lpstr>
      <vt:lpstr>'S&amp;D_LQ PL'!Print_Area</vt:lpstr>
      <vt:lpstr>'S&amp;D_PW'!Print_Area</vt:lpstr>
      <vt:lpstr>'S&amp;D_RR'!Print_Area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CAP Rate Study_Worksheets</dc:title>
  <dc:creator>K Reaves</dc:creator>
  <cp:lastModifiedBy>Baker, Mike A (DOR)</cp:lastModifiedBy>
  <cp:lastPrinted>2021-09-01T16:10:27Z</cp:lastPrinted>
  <dcterms:created xsi:type="dcterms:W3CDTF">2021-08-30T15:34:51Z</dcterms:created>
  <dcterms:modified xsi:type="dcterms:W3CDTF">2022-07-12T14:25:43Z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0x01010019CFB36B36E7EE46B860E7832FBC9DDB</vt:lpwstr>
  </property>
</Properties>
</file>